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360" yWindow="45" windowWidth="15480" windowHeight="10425" activeTab="0"/>
  </bookViews>
  <sheets>
    <sheet name="Dynamic Spine Calculator" sheetId="1" r:id="rId1"/>
  </sheets>
  <definedNames>
    <definedName name="centershot">'Dynamic Spine Calculator'!$N$19:$O$29</definedName>
    <definedName name="corde">'Dynamic Spine Calculator'!$N$31:$O$32</definedName>
    <definedName name="diam">'Dynamic Spine Calculator'!$Q$20:$R$29</definedName>
    <definedName name="empenage">'Dynamic Spine Calculator'!$N$16:$O$17</definedName>
    <definedName name="insert">'Dynamic Spine Calculator'!$N$34:$P$43</definedName>
    <definedName name="shaft">'Dynamic Spine Calculator'!$B$16:$H$96</definedName>
  </definedNames>
  <calcPr fullCalcOnLoad="1"/>
</workbook>
</file>

<file path=xl/comments1.xml><?xml version="1.0" encoding="utf-8"?>
<comments xmlns="http://schemas.openxmlformats.org/spreadsheetml/2006/main">
  <authors>
    <author>butel yves</author>
    <author>bubu</author>
  </authors>
  <commentList>
    <comment ref="D5" authorId="0">
      <text>
        <r>
          <rPr>
            <b/>
            <sz val="8"/>
            <rFont val="Tahoma"/>
            <family val="0"/>
          </rPr>
          <t>mesuré du creux d'encoche à l'arrière de la pointe</t>
        </r>
        <r>
          <rPr>
            <sz val="8"/>
            <rFont val="Tahoma"/>
            <family val="0"/>
          </rPr>
          <t xml:space="preserve">
</t>
        </r>
      </text>
    </comment>
    <comment ref="G5" authorId="0">
      <text>
        <r>
          <rPr>
            <b/>
            <sz val="8"/>
            <rFont val="Tahoma"/>
            <family val="0"/>
          </rPr>
          <t>Masse additionnelle côté encoche</t>
        </r>
        <r>
          <rPr>
            <sz val="8"/>
            <rFont val="Tahoma"/>
            <family val="0"/>
          </rPr>
          <t xml:space="preserve">
crest = 15 grain
</t>
        </r>
        <r>
          <rPr>
            <b/>
            <i/>
            <sz val="8"/>
            <color indexed="10"/>
            <rFont val="Tahoma"/>
            <family val="2"/>
          </rPr>
          <t>(masse encoche déjà comptée)</t>
        </r>
      </text>
    </comment>
    <comment ref="I11" authorId="0">
      <text>
        <r>
          <rPr>
            <b/>
            <sz val="8"/>
            <rFont val="Tahoma"/>
            <family val="0"/>
          </rPr>
          <t>donnée fabricant + 1/16e pour le tapis</t>
        </r>
      </text>
    </comment>
    <comment ref="B15" authorId="0">
      <text>
        <r>
          <rPr>
            <b/>
            <sz val="8"/>
            <rFont val="Tahoma"/>
            <family val="0"/>
          </rPr>
          <t>Entrez le nom du fût</t>
        </r>
        <r>
          <rPr>
            <sz val="8"/>
            <rFont val="Tahoma"/>
            <family val="0"/>
          </rPr>
          <t xml:space="preserve">
</t>
        </r>
      </text>
    </comment>
    <comment ref="C15" authorId="0">
      <text>
        <r>
          <rPr>
            <b/>
            <sz val="8"/>
            <rFont val="Tahoma"/>
            <family val="0"/>
          </rPr>
          <t>Entrez le spine du fût</t>
        </r>
        <r>
          <rPr>
            <sz val="8"/>
            <rFont val="Tahoma"/>
            <family val="0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0"/>
          </rPr>
          <t>Entrez la masse du fût en grains par pouce</t>
        </r>
      </text>
    </comment>
    <comment ref="B6" authorId="1">
      <text>
        <r>
          <rPr>
            <b/>
            <sz val="8"/>
            <rFont val="Tahoma"/>
            <family val="0"/>
          </rPr>
          <t>Spine statique (norme Bois 2# @ 26" centre à centre)</t>
        </r>
      </text>
    </comment>
    <comment ref="E15" authorId="1">
      <text>
        <r>
          <rPr>
            <b/>
            <sz val="8"/>
            <rFont val="Tahoma"/>
            <family val="0"/>
          </rPr>
          <t>en #</t>
        </r>
        <r>
          <rPr>
            <sz val="8"/>
            <rFont val="Tahoma"/>
            <family val="0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0"/>
          </rPr>
          <t>en 64éme de pouce</t>
        </r>
        <r>
          <rPr>
            <sz val="8"/>
            <rFont val="Tahoma"/>
            <family val="0"/>
          </rPr>
          <t xml:space="preserve">
</t>
        </r>
      </text>
    </comment>
    <comment ref="N4" authorId="0">
      <text>
        <r>
          <rPr>
            <b/>
            <sz val="8"/>
            <rFont val="Tahoma"/>
            <family val="2"/>
          </rPr>
          <t>Fûts bois
AMO/AMA (2# @ 26")</t>
        </r>
      </text>
    </comment>
    <comment ref="N5" authorId="0">
      <text>
        <r>
          <rPr>
            <b/>
            <sz val="8"/>
            <rFont val="Tahoma"/>
            <family val="0"/>
          </rPr>
          <t>Fûts carbone et alu
ASTM  (1.94# @ 28")</t>
        </r>
      </text>
    </comment>
  </commentList>
</comments>
</file>

<file path=xl/sharedStrings.xml><?xml version="1.0" encoding="utf-8"?>
<sst xmlns="http://schemas.openxmlformats.org/spreadsheetml/2006/main" count="112" uniqueCount="103">
  <si>
    <t>F.O.C.
(%)</t>
  </si>
  <si>
    <t>B50</t>
  </si>
  <si>
    <t>Arrow Data</t>
  </si>
  <si>
    <t>Deflection @ 28" w/1.94#</t>
  </si>
  <si>
    <t>Deflection @ 26" w/2.0#</t>
  </si>
  <si>
    <t>GPI</t>
  </si>
  <si>
    <t>Vanes</t>
  </si>
  <si>
    <t>0</t>
  </si>
  <si>
    <t>FastFlight</t>
  </si>
  <si>
    <t>Carbon 300</t>
  </si>
  <si>
    <t>Carbon 340</t>
  </si>
  <si>
    <t>Carbon 400</t>
  </si>
  <si>
    <t>Carbon 500</t>
  </si>
  <si>
    <t>GT 1535 Trad.</t>
  </si>
  <si>
    <t>GT 3555 Trad.</t>
  </si>
  <si>
    <t>GT 5575 Trad.</t>
  </si>
  <si>
    <t>GT 7595 Trad.</t>
  </si>
  <si>
    <t>Cbwood 3000</t>
  </si>
  <si>
    <t>Cbwood 4000</t>
  </si>
  <si>
    <t>Cbwood 5000</t>
  </si>
  <si>
    <t>Force de l'arc à l'allonge</t>
  </si>
  <si>
    <t>allonge de mesure
(In.)</t>
  </si>
  <si>
    <t>Force indiquée
(#)</t>
  </si>
  <si>
    <t>Position fenêtre</t>
  </si>
  <si>
    <t>Corde</t>
  </si>
  <si>
    <t>Spine dynamique requis (#)</t>
  </si>
  <si>
    <t>Position du centre de gravité (in.)</t>
  </si>
  <si>
    <t>Spine dynamique (#)</t>
  </si>
  <si>
    <t>Grains par #</t>
  </si>
  <si>
    <t>Fût</t>
  </si>
  <si>
    <t>tube lest (gpi)</t>
  </si>
  <si>
    <t>Longueur du fût (In.)</t>
  </si>
  <si>
    <t>Masse de pointe (grains)</t>
  </si>
  <si>
    <t>Masse côté encoche</t>
  </si>
  <si>
    <t>Type d'empenne</t>
  </si>
  <si>
    <t>Masse totale (grains)</t>
  </si>
  <si>
    <t>Calculateur de spine dynamique</t>
  </si>
  <si>
    <t>DONNEES</t>
  </si>
  <si>
    <t>Autre</t>
  </si>
  <si>
    <t>Plumes nat.</t>
  </si>
  <si>
    <t>Easton</t>
  </si>
  <si>
    <t>Goldtip</t>
  </si>
  <si>
    <t>Carbon Express</t>
  </si>
  <si>
    <t>Heritage 90</t>
  </si>
  <si>
    <t>Heritage 150</t>
  </si>
  <si>
    <t>Heritage 250</t>
  </si>
  <si>
    <t>Heritage 350</t>
  </si>
  <si>
    <t>Vapor</t>
  </si>
  <si>
    <t>Std Alu</t>
  </si>
  <si>
    <t>Laiton 50 gr</t>
  </si>
  <si>
    <t>Laiton 100 gr</t>
  </si>
  <si>
    <t>Insert</t>
  </si>
  <si>
    <t>Laiton 150 gr</t>
  </si>
  <si>
    <t>Calculs</t>
  </si>
  <si>
    <t>Marque</t>
  </si>
  <si>
    <t>Masse @ 29"</t>
  </si>
  <si>
    <t>Spine Statique</t>
  </si>
  <si>
    <t>Type</t>
  </si>
  <si>
    <t>Caractéristiques flèche</t>
  </si>
  <si>
    <t>Caractéristiques arc</t>
  </si>
  <si>
    <t>Diam. Du fût</t>
  </si>
  <si>
    <t>Diamètre du fut en 64éme de pouce</t>
  </si>
  <si>
    <t>FMJ DG 300</t>
  </si>
  <si>
    <t>FMJ DG 250</t>
  </si>
  <si>
    <t>FMJ 300</t>
  </si>
  <si>
    <t>FMJ 340</t>
  </si>
  <si>
    <t>FMJ 400</t>
  </si>
  <si>
    <t>FMJ 500</t>
  </si>
  <si>
    <t>Beaman</t>
  </si>
  <si>
    <t>ST axis 300</t>
  </si>
  <si>
    <t>ST axis 340</t>
  </si>
  <si>
    <t>ST axis 400</t>
  </si>
  <si>
    <t>ST axis 500</t>
  </si>
  <si>
    <t>ST epic 340</t>
  </si>
  <si>
    <t>ST epic 400</t>
  </si>
  <si>
    <t>ST epic 500</t>
  </si>
  <si>
    <t>ST epic 300</t>
  </si>
  <si>
    <t>MFX RT 300</t>
  </si>
  <si>
    <t>MFX RT 340</t>
  </si>
  <si>
    <t>MFX RT 400</t>
  </si>
  <si>
    <t>MFX RT 500</t>
  </si>
  <si>
    <t>MFX CL 340</t>
  </si>
  <si>
    <t>MFX CL 400</t>
  </si>
  <si>
    <t>MFX CL 500</t>
  </si>
  <si>
    <t>Easton C2</t>
  </si>
  <si>
    <t>Rbl Hntr 4560</t>
  </si>
  <si>
    <t>Rbl Hntr 6075</t>
  </si>
  <si>
    <t>Rbl Hntr 7590</t>
  </si>
  <si>
    <t>shaft diameter</t>
  </si>
  <si>
    <t>correction</t>
  </si>
  <si>
    <t>shaft diam</t>
  </si>
  <si>
    <t>Convertisseur de spine statique</t>
  </si>
  <si>
    <t>Deflection (in.)</t>
  </si>
  <si>
    <t xml:space="preserve"> Spine (#)</t>
  </si>
  <si>
    <t>Bois</t>
  </si>
  <si>
    <t xml:space="preserve">Carbone  ou alu </t>
  </si>
  <si>
    <t>Votre allonge
(In.)</t>
  </si>
  <si>
    <t>Fût bois</t>
  </si>
  <si>
    <t>MFX/FMJ 75 gr</t>
  </si>
  <si>
    <t>MFX/FMJ 100 gr</t>
  </si>
  <si>
    <t>MFX/FMJ alu</t>
  </si>
  <si>
    <t>Masse du fût en grains par pouce (GPI)</t>
  </si>
  <si>
    <t>Spine équivalent BOIS (en #)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</si>
</sst>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Vrai&quot;;&quot;Vrai&quot;;&quot;Faux&quot;"/>
    <numFmt numFmtId="175" formatCode="&quot;Actif&quot;;&quot;Actif&quot;;&quot;Inactif&quot;"/>
    <numFmt numFmtId="176" formatCode="0.000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2"/>
      <name val="Algerian"/>
      <family val="5"/>
    </font>
    <font>
      <u val="single"/>
      <sz val="10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Comic Sans MS"/>
      <family val="4"/>
    </font>
    <font>
      <u val="single"/>
      <sz val="12"/>
      <name val="Comic Sans MS"/>
      <family val="4"/>
    </font>
    <font>
      <b/>
      <sz val="22"/>
      <name val="Comic Sans MS"/>
      <family val="4"/>
    </font>
    <font>
      <sz val="9"/>
      <name val="Arial"/>
      <family val="2"/>
    </font>
    <font>
      <b/>
      <sz val="10"/>
      <color indexed="10"/>
      <name val="Arial"/>
      <family val="2"/>
    </font>
    <font>
      <b/>
      <i/>
      <sz val="8"/>
      <color indexed="10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omic Sans MS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11" xfId="0" applyNumberFormat="1" applyBorder="1" applyAlignment="1">
      <alignment horizontal="center"/>
    </xf>
    <xf numFmtId="0" fontId="3" fillId="33" borderId="13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34" borderId="14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33" borderId="13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wrapText="1"/>
    </xf>
    <xf numFmtId="172" fontId="0" fillId="35" borderId="16" xfId="0" applyNumberFormat="1" applyFill="1" applyBorder="1" applyAlignment="1" applyProtection="1">
      <alignment horizontal="center" vertical="center"/>
      <protection locked="0"/>
    </xf>
    <xf numFmtId="172" fontId="0" fillId="36" borderId="16" xfId="0" applyNumberFormat="1" applyFill="1" applyBorder="1" applyAlignment="1">
      <alignment horizontal="center" vertical="center"/>
    </xf>
    <xf numFmtId="13" fontId="0" fillId="35" borderId="16" xfId="0" applyNumberFormat="1" applyFont="1" applyFill="1" applyBorder="1" applyAlignment="1" applyProtection="1" quotePrefix="1">
      <alignment horizontal="center" vertical="center"/>
      <protection locked="0"/>
    </xf>
    <xf numFmtId="172" fontId="5" fillId="37" borderId="17" xfId="0" applyNumberFormat="1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1" fontId="0" fillId="35" borderId="20" xfId="0" applyNumberFormat="1" applyFill="1" applyBorder="1" applyAlignment="1" applyProtection="1">
      <alignment horizontal="center" vertical="center"/>
      <protection locked="0"/>
    </xf>
    <xf numFmtId="2" fontId="0" fillId="35" borderId="20" xfId="0" applyNumberFormat="1" applyFill="1" applyBorder="1" applyAlignment="1" applyProtection="1">
      <alignment horizontal="center" vertical="center"/>
      <protection locked="0"/>
    </xf>
    <xf numFmtId="2" fontId="0" fillId="35" borderId="20" xfId="0" applyNumberFormat="1" applyFill="1" applyBorder="1" applyAlignment="1" applyProtection="1">
      <alignment horizontal="center" vertical="center" wrapText="1"/>
      <protection locked="0"/>
    </xf>
    <xf numFmtId="1" fontId="0" fillId="35" borderId="20" xfId="0" applyNumberFormat="1" applyFont="1" applyFill="1" applyBorder="1" applyAlignment="1" applyProtection="1">
      <alignment horizontal="center" vertical="center"/>
      <protection locked="0"/>
    </xf>
    <xf numFmtId="172" fontId="0" fillId="36" borderId="20" xfId="0" applyNumberFormat="1" applyFont="1" applyFill="1" applyBorder="1" applyAlignment="1">
      <alignment horizontal="center" vertical="center"/>
    </xf>
    <xf numFmtId="172" fontId="5" fillId="37" borderId="20" xfId="0" applyNumberFormat="1" applyFont="1" applyFill="1" applyBorder="1" applyAlignment="1">
      <alignment horizontal="center" vertical="center"/>
    </xf>
    <xf numFmtId="172" fontId="0" fillId="36" borderId="21" xfId="0" applyNumberFormat="1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 wrapText="1"/>
    </xf>
    <xf numFmtId="1" fontId="0" fillId="35" borderId="23" xfId="0" applyNumberFormat="1" applyFill="1" applyBorder="1" applyAlignment="1" applyProtection="1">
      <alignment horizontal="center" vertical="center"/>
      <protection locked="0"/>
    </xf>
    <xf numFmtId="1" fontId="0" fillId="36" borderId="24" xfId="0" applyNumberFormat="1" applyFont="1" applyFill="1" applyBorder="1" applyAlignment="1">
      <alignment horizontal="center" vertical="center"/>
    </xf>
    <xf numFmtId="172" fontId="0" fillId="35" borderId="25" xfId="0" applyNumberFormat="1" applyFill="1" applyBorder="1" applyAlignment="1" applyProtection="1">
      <alignment horizontal="center" vertical="center"/>
      <protection locked="0"/>
    </xf>
    <xf numFmtId="173" fontId="0" fillId="36" borderId="26" xfId="0" applyNumberFormat="1" applyFill="1" applyBorder="1" applyAlignment="1">
      <alignment horizontal="center" vertical="center"/>
    </xf>
    <xf numFmtId="172" fontId="0" fillId="36" borderId="26" xfId="0" applyNumberFormat="1" applyFill="1" applyBorder="1" applyAlignment="1">
      <alignment horizontal="center" vertical="center"/>
    </xf>
    <xf numFmtId="0" fontId="0" fillId="36" borderId="13" xfId="0" applyFill="1" applyBorder="1" applyAlignment="1">
      <alignment horizontal="center"/>
    </xf>
    <xf numFmtId="0" fontId="0" fillId="38" borderId="13" xfId="0" applyFill="1" applyBorder="1" applyAlignment="1" applyProtection="1">
      <alignment horizontal="center" wrapText="1"/>
      <protection locked="0"/>
    </xf>
    <xf numFmtId="0" fontId="0" fillId="38" borderId="13" xfId="0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center"/>
      <protection/>
    </xf>
    <xf numFmtId="0" fontId="0" fillId="34" borderId="13" xfId="0" applyFont="1" applyFill="1" applyBorder="1" applyAlignment="1" applyProtection="1">
      <alignment horizontal="center" vertical="center" wrapText="1"/>
      <protection/>
    </xf>
    <xf numFmtId="173" fontId="0" fillId="34" borderId="13" xfId="0" applyNumberFormat="1" applyFill="1" applyBorder="1" applyAlignment="1" applyProtection="1">
      <alignment horizontal="center" vertical="center"/>
      <protection/>
    </xf>
    <xf numFmtId="172" fontId="0" fillId="34" borderId="13" xfId="0" applyNumberFormat="1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2" fontId="0" fillId="34" borderId="13" xfId="0" applyNumberFormat="1" applyFill="1" applyBorder="1" applyAlignment="1" applyProtection="1">
      <alignment horizontal="center" vertical="center"/>
      <protection/>
    </xf>
    <xf numFmtId="0" fontId="0" fillId="35" borderId="13" xfId="0" applyFill="1" applyBorder="1" applyAlignment="1" applyProtection="1">
      <alignment horizontal="center" vertical="center" wrapText="1"/>
      <protection/>
    </xf>
    <xf numFmtId="173" fontId="0" fillId="0" borderId="13" xfId="0" applyNumberFormat="1" applyBorder="1" applyAlignment="1" applyProtection="1">
      <alignment horizontal="center" vertical="center"/>
      <protection/>
    </xf>
    <xf numFmtId="172" fontId="0" fillId="0" borderId="13" xfId="0" applyNumberForma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2" fontId="0" fillId="0" borderId="13" xfId="0" applyNumberFormat="1" applyBorder="1" applyAlignment="1" applyProtection="1">
      <alignment horizontal="center" vertical="center"/>
      <protection/>
    </xf>
    <xf numFmtId="173" fontId="0" fillId="0" borderId="13" xfId="0" applyNumberForma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35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/>
      <protection/>
    </xf>
    <xf numFmtId="0" fontId="0" fillId="35" borderId="26" xfId="0" applyFill="1" applyBorder="1" applyAlignment="1" applyProtection="1">
      <alignment horizontal="center" vertical="center" wrapText="1"/>
      <protection/>
    </xf>
    <xf numFmtId="173" fontId="0" fillId="0" borderId="26" xfId="0" applyNumberFormat="1" applyBorder="1" applyAlignment="1" applyProtection="1">
      <alignment horizontal="center" vertical="center"/>
      <protection/>
    </xf>
    <xf numFmtId="172" fontId="0" fillId="0" borderId="26" xfId="0" applyNumberFormat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/>
      <protection/>
    </xf>
    <xf numFmtId="2" fontId="0" fillId="0" borderId="26" xfId="0" applyNumberFormat="1" applyBorder="1" applyAlignment="1" applyProtection="1">
      <alignment horizontal="center" vertical="center"/>
      <protection/>
    </xf>
    <xf numFmtId="0" fontId="0" fillId="35" borderId="13" xfId="0" applyFill="1" applyBorder="1" applyAlignment="1" applyProtection="1">
      <alignment horizontal="center" wrapText="1"/>
      <protection/>
    </xf>
    <xf numFmtId="0" fontId="0" fillId="0" borderId="13" xfId="0" applyFill="1" applyBorder="1" applyAlignment="1" applyProtection="1">
      <alignment horizontal="center"/>
      <protection/>
    </xf>
    <xf numFmtId="173" fontId="0" fillId="0" borderId="26" xfId="0" applyNumberFormat="1" applyFill="1" applyBorder="1" applyAlignment="1" applyProtection="1">
      <alignment horizontal="center" vertical="center"/>
      <protection/>
    </xf>
    <xf numFmtId="172" fontId="0" fillId="0" borderId="26" xfId="0" applyNumberFormat="1" applyFill="1" applyBorder="1" applyAlignment="1" applyProtection="1">
      <alignment horizontal="center" vertical="center"/>
      <protection/>
    </xf>
    <xf numFmtId="0" fontId="0" fillId="38" borderId="13" xfId="0" applyFont="1" applyFill="1" applyBorder="1" applyAlignment="1" applyProtection="1">
      <alignment horizontal="center"/>
      <protection locked="0"/>
    </xf>
    <xf numFmtId="0" fontId="0" fillId="35" borderId="27" xfId="0" applyFill="1" applyBorder="1" applyAlignment="1" applyProtection="1">
      <alignment horizontal="center" vertical="center" wrapText="1"/>
      <protection locked="0"/>
    </xf>
    <xf numFmtId="0" fontId="0" fillId="35" borderId="13" xfId="0" applyFill="1" applyBorder="1" applyAlignment="1" applyProtection="1">
      <alignment horizontal="center" vertical="center"/>
      <protection locked="0"/>
    </xf>
    <xf numFmtId="0" fontId="4" fillId="39" borderId="13" xfId="0" applyFont="1" applyFill="1" applyBorder="1" applyAlignment="1" applyProtection="1">
      <alignment horizontal="center" vertical="center" wrapText="1"/>
      <protection/>
    </xf>
    <xf numFmtId="173" fontId="0" fillId="35" borderId="13" xfId="0" applyNumberFormat="1" applyFill="1" applyBorder="1" applyAlignment="1" applyProtection="1">
      <alignment horizontal="center" vertical="center" wrapText="1"/>
      <protection locked="0"/>
    </xf>
    <xf numFmtId="172" fontId="0" fillId="36" borderId="13" xfId="0" applyNumberFormat="1" applyFill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1" fontId="0" fillId="0" borderId="30" xfId="0" applyNumberFormat="1" applyBorder="1" applyAlignment="1">
      <alignment horizontal="center"/>
    </xf>
    <xf numFmtId="1" fontId="0" fillId="0" borderId="30" xfId="0" applyNumberFormat="1" applyFill="1" applyBorder="1" applyAlignment="1">
      <alignment horizontal="center"/>
    </xf>
    <xf numFmtId="1" fontId="0" fillId="0" borderId="29" xfId="0" applyNumberForma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left" vertical="center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/>
    </xf>
    <xf numFmtId="13" fontId="0" fillId="0" borderId="13" xfId="0" applyNumberFormat="1" applyFont="1" applyBorder="1" applyAlignment="1">
      <alignment horizontal="center"/>
    </xf>
    <xf numFmtId="13" fontId="0" fillId="0" borderId="13" xfId="0" applyNumberFormat="1" applyFont="1" applyFill="1" applyBorder="1" applyAlignment="1">
      <alignment horizontal="center"/>
    </xf>
    <xf numFmtId="13" fontId="14" fillId="0" borderId="13" xfId="0" applyNumberFormat="1" applyFont="1" applyFill="1" applyBorder="1" applyAlignment="1">
      <alignment horizontal="center"/>
    </xf>
    <xf numFmtId="13" fontId="14" fillId="0" borderId="13" xfId="0" applyNumberFormat="1" applyFont="1" applyBorder="1" applyAlignment="1">
      <alignment horizontal="center"/>
    </xf>
    <xf numFmtId="0" fontId="6" fillId="0" borderId="26" xfId="0" applyNumberFormat="1" applyFont="1" applyBorder="1" applyAlignment="1" applyProtection="1">
      <alignment horizontal="center" vertical="center"/>
      <protection/>
    </xf>
    <xf numFmtId="0" fontId="6" fillId="0" borderId="32" xfId="0" applyNumberFormat="1" applyFont="1" applyBorder="1" applyAlignment="1" applyProtection="1">
      <alignment horizontal="center" vertical="center"/>
      <protection/>
    </xf>
    <xf numFmtId="0" fontId="6" fillId="0" borderId="33" xfId="0" applyNumberFormat="1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11" fillId="33" borderId="34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top"/>
    </xf>
    <xf numFmtId="0" fontId="11" fillId="33" borderId="35" xfId="0" applyFont="1" applyFill="1" applyBorder="1" applyAlignment="1">
      <alignment horizontal="center" vertical="top"/>
    </xf>
    <xf numFmtId="0" fontId="11" fillId="33" borderId="37" xfId="0" applyFont="1" applyFill="1" applyBorder="1" applyAlignment="1">
      <alignment horizontal="center" vertical="top"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12" fillId="38" borderId="38" xfId="0" applyFont="1" applyFill="1" applyBorder="1" applyAlignment="1">
      <alignment horizontal="center" vertical="center"/>
    </xf>
    <xf numFmtId="0" fontId="12" fillId="38" borderId="39" xfId="0" applyFont="1" applyFill="1" applyBorder="1" applyAlignment="1">
      <alignment horizontal="center" vertical="center"/>
    </xf>
    <xf numFmtId="0" fontId="12" fillId="38" borderId="40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7" fillId="40" borderId="0" xfId="0" applyFont="1" applyFill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4">
    <dxf>
      <font>
        <color indexed="8"/>
      </font>
      <fill>
        <patternFill>
          <bgColor indexed="11"/>
        </patternFill>
      </fill>
    </dxf>
    <dxf>
      <font>
        <color indexed="13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323850</xdr:colOff>
      <xdr:row>4</xdr:row>
      <xdr:rowOff>419100</xdr:rowOff>
    </xdr:from>
    <xdr:to>
      <xdr:col>10</xdr:col>
      <xdr:colOff>333375</xdr:colOff>
      <xdr:row>8</xdr:row>
      <xdr:rowOff>104775</xdr:rowOff>
    </xdr:to>
    <xdr:sp>
      <xdr:nvSpPr>
        <xdr:cNvPr id="1" name="Line 62"/>
        <xdr:cNvSpPr>
          <a:spLocks/>
        </xdr:cNvSpPr>
      </xdr:nvSpPr>
      <xdr:spPr>
        <a:xfrm flipH="1">
          <a:off x="7410450" y="2381250"/>
          <a:ext cx="9525" cy="1057275"/>
        </a:xfrm>
        <a:prstGeom prst="line">
          <a:avLst/>
        </a:prstGeom>
        <a:noFill/>
        <a:ln w="25400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257175</xdr:colOff>
      <xdr:row>5</xdr:row>
      <xdr:rowOff>228600</xdr:rowOff>
    </xdr:from>
    <xdr:ext cx="4276725" cy="438150"/>
    <xdr:sp>
      <xdr:nvSpPr>
        <xdr:cNvPr id="2" name="TextBox 4"/>
        <xdr:cNvSpPr txBox="1">
          <a:spLocks noChangeArrowheads="1"/>
        </xdr:cNvSpPr>
      </xdr:nvSpPr>
      <xdr:spPr>
        <a:xfrm>
          <a:off x="5400675" y="2667000"/>
          <a:ext cx="4276725" cy="43815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L'écart entre ces deux valeurs doit être de 2# au maximum.  
</a:t>
          </a:r>
          <a:r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Un réglage fin pourra alors être fait en jouant sur le band de l'arc.</a:t>
          </a:r>
        </a:p>
      </xdr:txBody>
    </xdr:sp>
    <xdr:clientData/>
  </xdr:oneCellAnchor>
  <xdr:twoCellAnchor>
    <xdr:from>
      <xdr:col>0</xdr:col>
      <xdr:colOff>19050</xdr:colOff>
      <xdr:row>3</xdr:row>
      <xdr:rowOff>381000</xdr:rowOff>
    </xdr:from>
    <xdr:to>
      <xdr:col>0</xdr:col>
      <xdr:colOff>1181100</xdr:colOff>
      <xdr:row>5</xdr:row>
      <xdr:rowOff>85725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19050" y="1847850"/>
          <a:ext cx="11620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 "autre" est selectionné, entrer les caractéristiques du fût ici</a:t>
          </a:r>
        </a:p>
      </xdr:txBody>
    </xdr:sp>
    <xdr:clientData/>
  </xdr:twoCellAnchor>
  <xdr:twoCellAnchor>
    <xdr:from>
      <xdr:col>0</xdr:col>
      <xdr:colOff>600075</xdr:colOff>
      <xdr:row>5</xdr:row>
      <xdr:rowOff>85725</xdr:rowOff>
    </xdr:from>
    <xdr:to>
      <xdr:col>0</xdr:col>
      <xdr:colOff>1057275</xdr:colOff>
      <xdr:row>6</xdr:row>
      <xdr:rowOff>152400</xdr:rowOff>
    </xdr:to>
    <xdr:sp>
      <xdr:nvSpPr>
        <xdr:cNvPr id="4" name="Elbow Connector 33"/>
        <xdr:cNvSpPr>
          <a:spLocks/>
        </xdr:cNvSpPr>
      </xdr:nvSpPr>
      <xdr:spPr>
        <a:xfrm rot="16200000" flipH="1">
          <a:off x="600075" y="2524125"/>
          <a:ext cx="457200" cy="342900"/>
        </a:xfrm>
        <a:prstGeom prst="bentConnector2">
          <a:avLst>
            <a:gd name="adj1" fmla="val -225000"/>
            <a:gd name="adj2" fmla="val 502083"/>
            <a:gd name="adj3" fmla="val -225000"/>
          </a:avLst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5</xdr:row>
      <xdr:rowOff>171450</xdr:rowOff>
    </xdr:from>
    <xdr:to>
      <xdr:col>0</xdr:col>
      <xdr:colOff>1047750</xdr:colOff>
      <xdr:row>5</xdr:row>
      <xdr:rowOff>171450</xdr:rowOff>
    </xdr:to>
    <xdr:sp>
      <xdr:nvSpPr>
        <xdr:cNvPr id="5" name="Straight Arrow Connector 12"/>
        <xdr:cNvSpPr>
          <a:spLocks/>
        </xdr:cNvSpPr>
      </xdr:nvSpPr>
      <xdr:spPr>
        <a:xfrm>
          <a:off x="609600" y="2609850"/>
          <a:ext cx="4381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6</xdr:row>
      <xdr:rowOff>104775</xdr:rowOff>
    </xdr:from>
    <xdr:to>
      <xdr:col>0</xdr:col>
      <xdr:colOff>1057275</xdr:colOff>
      <xdr:row>7</xdr:row>
      <xdr:rowOff>171450</xdr:rowOff>
    </xdr:to>
    <xdr:sp>
      <xdr:nvSpPr>
        <xdr:cNvPr id="6" name="Elbow Connector 33"/>
        <xdr:cNvSpPr>
          <a:spLocks/>
        </xdr:cNvSpPr>
      </xdr:nvSpPr>
      <xdr:spPr>
        <a:xfrm rot="16200000" flipH="1">
          <a:off x="600075" y="2819400"/>
          <a:ext cx="457200" cy="342900"/>
        </a:xfrm>
        <a:prstGeom prst="bentConnector2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428625</xdr:colOff>
      <xdr:row>14</xdr:row>
      <xdr:rowOff>190500</xdr:rowOff>
    </xdr:from>
    <xdr:to>
      <xdr:col>11</xdr:col>
      <xdr:colOff>504825</xdr:colOff>
      <xdr:row>14</xdr:row>
      <xdr:rowOff>276225</xdr:rowOff>
    </xdr:to>
    <xdr:sp>
      <xdr:nvSpPr>
        <xdr:cNvPr id="7" name="Rectangle 105"/>
        <xdr:cNvSpPr>
          <a:spLocks/>
        </xdr:cNvSpPr>
      </xdr:nvSpPr>
      <xdr:spPr>
        <a:xfrm>
          <a:off x="8201025" y="5676900"/>
          <a:ext cx="7620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18</xdr:col>
      <xdr:colOff>0</xdr:colOff>
      <xdr:row>98</xdr:row>
      <xdr:rowOff>0</xdr:rowOff>
    </xdr:to>
    <xdr:sp>
      <xdr:nvSpPr>
        <xdr:cNvPr id="8" name="Rectangle 120"/>
        <xdr:cNvSpPr>
          <a:spLocks/>
        </xdr:cNvSpPr>
      </xdr:nvSpPr>
      <xdr:spPr>
        <a:xfrm>
          <a:off x="0" y="4895850"/>
          <a:ext cx="11820525" cy="16887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99"/>
  <sheetViews>
    <sheetView showGridLines="0" showRowColHeaders="0" tabSelected="1" zoomScalePageLayoutView="0" workbookViewId="0" topLeftCell="B1">
      <selection activeCell="B6" sqref="B6"/>
    </sheetView>
  </sheetViews>
  <sheetFormatPr defaultColWidth="9.140625" defaultRowHeight="12.75"/>
  <cols>
    <col min="1" max="1" width="18.8515625" style="0" customWidth="1"/>
    <col min="2" max="2" width="12.7109375" style="1" customWidth="1"/>
    <col min="3" max="4" width="9.140625" style="1" customWidth="1"/>
    <col min="5" max="5" width="8.8515625" style="1" customWidth="1"/>
    <col min="6" max="6" width="9.140625" style="1" customWidth="1"/>
    <col min="7" max="7" width="9.28125" style="1" customWidth="1"/>
    <col min="8" max="8" width="11.00390625" style="0" customWidth="1"/>
    <col min="9" max="9" width="9.140625" style="0" customWidth="1"/>
    <col min="10" max="10" width="9.00390625" style="0" customWidth="1"/>
    <col min="11" max="11" width="10.28125" style="0" customWidth="1"/>
    <col min="12" max="12" width="8.140625" style="0" customWidth="1"/>
    <col min="13" max="13" width="2.00390625" style="0" customWidth="1"/>
    <col min="14" max="14" width="11.8515625" style="0" customWidth="1"/>
    <col min="15" max="15" width="9.7109375" style="0" customWidth="1"/>
    <col min="16" max="16" width="10.7109375" style="0" customWidth="1"/>
  </cols>
  <sheetData>
    <row r="1" spans="2:12" ht="44.25" customHeight="1" thickBot="1">
      <c r="B1" s="107" t="s">
        <v>36</v>
      </c>
      <c r="C1" s="108"/>
      <c r="D1" s="108"/>
      <c r="E1" s="108"/>
      <c r="F1" s="108"/>
      <c r="G1" s="108"/>
      <c r="H1" s="108"/>
      <c r="I1" s="108"/>
      <c r="J1" s="108"/>
      <c r="K1" s="108"/>
      <c r="L1" s="109"/>
    </row>
    <row r="2" spans="2:16" ht="44.25" customHeight="1" thickBot="1">
      <c r="B2" s="19"/>
      <c r="C2" s="20"/>
      <c r="D2" s="20"/>
      <c r="E2" s="20"/>
      <c r="F2" s="20"/>
      <c r="H2" s="1"/>
      <c r="N2" s="16"/>
      <c r="O2" s="16" t="s">
        <v>91</v>
      </c>
      <c r="P2" s="16"/>
    </row>
    <row r="3" spans="2:16" ht="27" customHeight="1">
      <c r="B3" s="98" t="s">
        <v>58</v>
      </c>
      <c r="C3" s="99"/>
      <c r="D3" s="99"/>
      <c r="E3" s="99"/>
      <c r="F3" s="99"/>
      <c r="G3" s="99"/>
      <c r="H3" s="100"/>
      <c r="I3" s="110" t="s">
        <v>53</v>
      </c>
      <c r="J3" s="111"/>
      <c r="K3" s="111"/>
      <c r="L3" s="112"/>
      <c r="N3" s="75" t="s">
        <v>29</v>
      </c>
      <c r="O3" s="22" t="s">
        <v>92</v>
      </c>
      <c r="P3" s="22" t="s">
        <v>93</v>
      </c>
    </row>
    <row r="4" spans="2:16" s="16" customFormat="1" ht="39" customHeight="1">
      <c r="B4" s="28" t="s">
        <v>29</v>
      </c>
      <c r="C4" s="22" t="s">
        <v>30</v>
      </c>
      <c r="D4" s="22" t="s">
        <v>31</v>
      </c>
      <c r="E4" s="22" t="s">
        <v>51</v>
      </c>
      <c r="F4" s="22" t="s">
        <v>32</v>
      </c>
      <c r="G4" s="22" t="s">
        <v>33</v>
      </c>
      <c r="H4" s="37" t="s">
        <v>34</v>
      </c>
      <c r="I4" s="28" t="s">
        <v>35</v>
      </c>
      <c r="J4" s="22" t="s">
        <v>0</v>
      </c>
      <c r="K4" s="22" t="s">
        <v>27</v>
      </c>
      <c r="L4" s="29" t="s">
        <v>28</v>
      </c>
      <c r="N4" s="85" t="s">
        <v>94</v>
      </c>
      <c r="O4" s="76">
        <v>0.5</v>
      </c>
      <c r="P4" s="77">
        <f>26/O4</f>
        <v>52</v>
      </c>
    </row>
    <row r="5" spans="2:16" ht="37.5" customHeight="1" thickBot="1">
      <c r="B5" s="73" t="s">
        <v>38</v>
      </c>
      <c r="C5" s="30">
        <v>0</v>
      </c>
      <c r="D5" s="31">
        <v>28</v>
      </c>
      <c r="E5" s="32" t="s">
        <v>97</v>
      </c>
      <c r="F5" s="30">
        <v>125</v>
      </c>
      <c r="G5" s="33">
        <v>19</v>
      </c>
      <c r="H5" s="38" t="s">
        <v>39</v>
      </c>
      <c r="I5" s="39">
        <f>(VLOOKUP(B5,shaft,7,FALSE))*D5+(D5-VLOOKUP(E5,insert,2,FALSE)-0.25)*C5+F5+VLOOKUP(E5,insert,3,FALSE)+VLOOKUP(H5,empenage,2,FALSE)+G5+10</f>
        <v>443.6</v>
      </c>
      <c r="J5" s="34">
        <f>(D5/2-Q43)/D5*100</f>
        <v>12.186010562926704</v>
      </c>
      <c r="K5" s="35">
        <f>26/(VLOOKUP(B5,shaft,3,FALSE)*(1+((D5-VLOOKUP(E5,insert,2,FALSE))-29)/29*2.8)*(1+(F5+VLOOKUP(E5,insert,3,FALSE)-125-VLOOKUP(H5,empenage,2,FALSE)-G5)/125*0.4))</f>
        <v>54.58686824906933</v>
      </c>
      <c r="L5" s="36">
        <f>I5/H11</f>
        <v>9.3595292475617</v>
      </c>
      <c r="N5" s="85" t="s">
        <v>95</v>
      </c>
      <c r="O5" s="76">
        <v>0.46</v>
      </c>
      <c r="P5" s="77">
        <f>26/(O5*0.825)</f>
        <v>68.51119894598155</v>
      </c>
    </row>
    <row r="6" spans="1:8" ht="21.75" customHeight="1">
      <c r="A6" s="2"/>
      <c r="B6" s="74">
        <v>46</v>
      </c>
      <c r="C6" s="3" t="s">
        <v>102</v>
      </c>
      <c r="D6" s="3"/>
      <c r="H6" s="1"/>
    </row>
    <row r="7" spans="1:8" ht="21.75" customHeight="1">
      <c r="A7" s="4"/>
      <c r="B7" s="74">
        <v>10</v>
      </c>
      <c r="C7" s="3" t="s">
        <v>101</v>
      </c>
      <c r="D7" s="3"/>
      <c r="H7" s="1"/>
    </row>
    <row r="8" spans="2:11" s="16" customFormat="1" ht="27" customHeight="1" thickBot="1">
      <c r="B8" s="74">
        <v>22</v>
      </c>
      <c r="C8" s="3" t="s">
        <v>61</v>
      </c>
      <c r="K8" s="18"/>
    </row>
    <row r="9" spans="3:11" s="16" customFormat="1" ht="27" customHeight="1">
      <c r="C9" s="4"/>
      <c r="D9" s="4"/>
      <c r="E9" s="101" t="s">
        <v>59</v>
      </c>
      <c r="F9" s="102"/>
      <c r="G9" s="102"/>
      <c r="H9" s="102"/>
      <c r="I9" s="102"/>
      <c r="J9" s="103"/>
      <c r="K9" s="23"/>
    </row>
    <row r="10" spans="3:11" s="16" customFormat="1" ht="42" customHeight="1">
      <c r="C10" s="15"/>
      <c r="D10" s="15"/>
      <c r="E10" s="88" t="s">
        <v>22</v>
      </c>
      <c r="F10" s="87" t="s">
        <v>21</v>
      </c>
      <c r="G10" s="87" t="s">
        <v>96</v>
      </c>
      <c r="H10" s="87" t="s">
        <v>20</v>
      </c>
      <c r="I10" s="22" t="s">
        <v>23</v>
      </c>
      <c r="J10" s="22" t="s">
        <v>24</v>
      </c>
      <c r="K10" s="29" t="s">
        <v>25</v>
      </c>
    </row>
    <row r="11" spans="3:11" s="16" customFormat="1" ht="27" customHeight="1" thickBot="1">
      <c r="C11" s="4"/>
      <c r="D11" s="4"/>
      <c r="E11" s="40">
        <v>46</v>
      </c>
      <c r="F11" s="24">
        <v>26</v>
      </c>
      <c r="G11" s="24">
        <v>26.5</v>
      </c>
      <c r="H11" s="25">
        <f>E11+(G11-F11)*(3+LOG(E11/(100-E11))*3)</f>
        <v>47.39554610778791</v>
      </c>
      <c r="I11" s="26" t="s">
        <v>7</v>
      </c>
      <c r="J11" s="24" t="s">
        <v>8</v>
      </c>
      <c r="K11" s="27">
        <f>H11*VLOOKUP(J11,corde,2,FALSE)+VLOOKUP(I11,centershot,2,FALSE)-VLOOKUP(VLOOKUP(B5,shaft,6,FALSE),diam,2,FALSE)</f>
        <v>53.765323413177306</v>
      </c>
    </row>
    <row r="12" ht="27" customHeight="1"/>
    <row r="13" spans="1:12" ht="27" customHeight="1">
      <c r="A13" s="113" t="s">
        <v>37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</row>
    <row r="14" spans="2:8" ht="19.5">
      <c r="B14" s="86" t="s">
        <v>2</v>
      </c>
      <c r="C14" s="14"/>
      <c r="D14" s="14"/>
      <c r="E14" s="14"/>
      <c r="F14" s="14"/>
      <c r="G14" s="14"/>
      <c r="H14" s="14"/>
    </row>
    <row r="15" spans="1:8" s="16" customFormat="1" ht="38.25">
      <c r="A15" s="22" t="s">
        <v>54</v>
      </c>
      <c r="B15" s="22" t="s">
        <v>57</v>
      </c>
      <c r="C15" s="22" t="s">
        <v>3</v>
      </c>
      <c r="D15" s="22" t="s">
        <v>4</v>
      </c>
      <c r="E15" s="22" t="s">
        <v>56</v>
      </c>
      <c r="F15" s="22" t="s">
        <v>55</v>
      </c>
      <c r="G15" s="22" t="s">
        <v>60</v>
      </c>
      <c r="H15" s="22" t="s">
        <v>5</v>
      </c>
    </row>
    <row r="16" spans="1:17" ht="15" customHeight="1">
      <c r="A16" s="48"/>
      <c r="B16" s="49" t="s">
        <v>38</v>
      </c>
      <c r="C16" s="50">
        <f>D16/0.825</f>
        <v>0.6851119894598156</v>
      </c>
      <c r="D16" s="50">
        <f>26/E16</f>
        <v>0.5652173913043478</v>
      </c>
      <c r="E16" s="51">
        <f>$B$6</f>
        <v>46</v>
      </c>
      <c r="F16" s="52">
        <f>29*H16</f>
        <v>290</v>
      </c>
      <c r="G16" s="52">
        <f>$B$8</f>
        <v>22</v>
      </c>
      <c r="H16" s="53">
        <f>$B$7</f>
        <v>10</v>
      </c>
      <c r="N16" s="78" t="s">
        <v>39</v>
      </c>
      <c r="O16" s="5">
        <f>3.2*3</f>
        <v>9.600000000000001</v>
      </c>
      <c r="P16" s="6"/>
      <c r="Q16" s="6"/>
    </row>
    <row r="17" spans="1:17" ht="15" customHeight="1">
      <c r="A17" s="97" t="s">
        <v>40</v>
      </c>
      <c r="B17" s="54">
        <v>1713</v>
      </c>
      <c r="C17" s="55">
        <v>1.03</v>
      </c>
      <c r="D17" s="55">
        <f aca="true" t="shared" si="0" ref="D17:D49">C17*0.825</f>
        <v>0.84975</v>
      </c>
      <c r="E17" s="56">
        <f aca="true" t="shared" si="1" ref="E17:E49">26/D17</f>
        <v>30.597234480729625</v>
      </c>
      <c r="F17" s="57">
        <v>216</v>
      </c>
      <c r="G17" s="57">
        <f aca="true" t="shared" si="2" ref="G17:G41">VALUE(LEFT(B17,2))</f>
        <v>17</v>
      </c>
      <c r="H17" s="58">
        <f aca="true" t="shared" si="3" ref="H17:H49">F17/29</f>
        <v>7.448275862068965</v>
      </c>
      <c r="N17" s="79" t="s">
        <v>6</v>
      </c>
      <c r="O17" s="7">
        <f>O16/0.3</f>
        <v>32.00000000000001</v>
      </c>
      <c r="P17" s="6"/>
      <c r="Q17" s="6"/>
    </row>
    <row r="18" spans="1:16" ht="15" customHeight="1">
      <c r="A18" s="97"/>
      <c r="B18" s="54">
        <v>1716</v>
      </c>
      <c r="C18" s="55">
        <v>0.88</v>
      </c>
      <c r="D18" s="55">
        <f t="shared" si="0"/>
        <v>0.726</v>
      </c>
      <c r="E18" s="56">
        <f t="shared" si="1"/>
        <v>35.81267217630854</v>
      </c>
      <c r="F18" s="57">
        <v>262</v>
      </c>
      <c r="G18" s="57">
        <f t="shared" si="2"/>
        <v>17</v>
      </c>
      <c r="H18" s="58">
        <f t="shared" si="3"/>
        <v>9.03448275862069</v>
      </c>
      <c r="O18" s="1"/>
      <c r="P18" s="1"/>
    </row>
    <row r="19" spans="1:18" ht="15" customHeight="1">
      <c r="A19" s="97"/>
      <c r="B19" s="54">
        <v>1813</v>
      </c>
      <c r="C19" s="55">
        <v>0.86</v>
      </c>
      <c r="D19" s="55">
        <f t="shared" si="0"/>
        <v>0.7094999999999999</v>
      </c>
      <c r="E19" s="56">
        <f t="shared" si="1"/>
        <v>36.64552501761805</v>
      </c>
      <c r="F19" s="57">
        <v>227</v>
      </c>
      <c r="G19" s="57">
        <f t="shared" si="2"/>
        <v>18</v>
      </c>
      <c r="H19" s="58">
        <f t="shared" si="3"/>
        <v>7.827586206896552</v>
      </c>
      <c r="N19" s="92">
        <v>-0.1875</v>
      </c>
      <c r="O19" s="89">
        <v>18</v>
      </c>
      <c r="P19" s="8"/>
      <c r="Q19" s="83" t="s">
        <v>90</v>
      </c>
      <c r="R19" s="84" t="s">
        <v>89</v>
      </c>
    </row>
    <row r="20" spans="1:18" ht="15" customHeight="1">
      <c r="A20" s="97"/>
      <c r="B20" s="54">
        <v>1816</v>
      </c>
      <c r="C20" s="55">
        <v>0.75</v>
      </c>
      <c r="D20" s="55">
        <f t="shared" si="0"/>
        <v>0.6187499999999999</v>
      </c>
      <c r="E20" s="56">
        <f t="shared" si="1"/>
        <v>42.02020202020203</v>
      </c>
      <c r="F20" s="57">
        <v>268</v>
      </c>
      <c r="G20" s="57">
        <f t="shared" si="2"/>
        <v>18</v>
      </c>
      <c r="H20" s="58">
        <f t="shared" si="3"/>
        <v>9.241379310344827</v>
      </c>
      <c r="N20" s="93">
        <v>-0.125</v>
      </c>
      <c r="O20" s="89">
        <v>15</v>
      </c>
      <c r="P20" s="9"/>
      <c r="Q20" s="80">
        <v>17</v>
      </c>
      <c r="R20" s="10">
        <f aca="true" t="shared" si="4" ref="R20:R29">(Q20-21)/2*2</f>
        <v>-4</v>
      </c>
    </row>
    <row r="21" spans="1:18" ht="15" customHeight="1">
      <c r="A21" s="97"/>
      <c r="B21" s="54">
        <v>1913</v>
      </c>
      <c r="C21" s="55">
        <v>0.725</v>
      </c>
      <c r="D21" s="55">
        <f t="shared" si="0"/>
        <v>0.5981249999999999</v>
      </c>
      <c r="E21" s="56">
        <f t="shared" si="1"/>
        <v>43.46917450365727</v>
      </c>
      <c r="F21" s="57">
        <v>241</v>
      </c>
      <c r="G21" s="57">
        <f t="shared" si="2"/>
        <v>19</v>
      </c>
      <c r="H21" s="58">
        <f t="shared" si="3"/>
        <v>8.310344827586206</v>
      </c>
      <c r="N21" s="93">
        <v>-0.0625</v>
      </c>
      <c r="O21" s="89">
        <v>10</v>
      </c>
      <c r="P21" s="9"/>
      <c r="Q21" s="80">
        <v>18</v>
      </c>
      <c r="R21" s="10">
        <f t="shared" si="4"/>
        <v>-3</v>
      </c>
    </row>
    <row r="22" spans="1:18" ht="15" customHeight="1">
      <c r="A22" s="97"/>
      <c r="B22" s="54">
        <v>1916</v>
      </c>
      <c r="C22" s="55">
        <v>0.62</v>
      </c>
      <c r="D22" s="55">
        <f t="shared" si="0"/>
        <v>0.5115</v>
      </c>
      <c r="E22" s="56">
        <f t="shared" si="1"/>
        <v>50.830889540566965</v>
      </c>
      <c r="F22" s="57">
        <v>291</v>
      </c>
      <c r="G22" s="57">
        <f t="shared" si="2"/>
        <v>19</v>
      </c>
      <c r="H22" s="58">
        <f t="shared" si="3"/>
        <v>10.03448275862069</v>
      </c>
      <c r="N22" s="90" t="s">
        <v>7</v>
      </c>
      <c r="O22" s="89">
        <v>5</v>
      </c>
      <c r="P22" s="9"/>
      <c r="Q22" s="80">
        <v>19</v>
      </c>
      <c r="R22" s="10">
        <f t="shared" si="4"/>
        <v>-2</v>
      </c>
    </row>
    <row r="23" spans="1:18" ht="15" customHeight="1">
      <c r="A23" s="97"/>
      <c r="B23" s="54">
        <v>2013</v>
      </c>
      <c r="C23" s="55">
        <v>0.6</v>
      </c>
      <c r="D23" s="55">
        <f t="shared" si="0"/>
        <v>0.49499999999999994</v>
      </c>
      <c r="E23" s="56">
        <f t="shared" si="1"/>
        <v>52.52525252525253</v>
      </c>
      <c r="F23" s="57">
        <v>262</v>
      </c>
      <c r="G23" s="57">
        <f t="shared" si="2"/>
        <v>20</v>
      </c>
      <c r="H23" s="58">
        <f t="shared" si="3"/>
        <v>9.03448275862069</v>
      </c>
      <c r="N23" s="90">
        <v>0.0625</v>
      </c>
      <c r="O23" s="89">
        <v>2</v>
      </c>
      <c r="P23" s="9"/>
      <c r="Q23" s="80">
        <v>20</v>
      </c>
      <c r="R23" s="10">
        <f t="shared" si="4"/>
        <v>-1</v>
      </c>
    </row>
    <row r="24" spans="1:18" ht="15" customHeight="1">
      <c r="A24" s="97"/>
      <c r="B24" s="54">
        <v>2016</v>
      </c>
      <c r="C24" s="59">
        <v>0.53</v>
      </c>
      <c r="D24" s="55">
        <f t="shared" si="0"/>
        <v>0.43724999999999997</v>
      </c>
      <c r="E24" s="56">
        <f t="shared" si="1"/>
        <v>59.46255002858777</v>
      </c>
      <c r="F24" s="60">
        <v>305</v>
      </c>
      <c r="G24" s="57">
        <f t="shared" si="2"/>
        <v>20</v>
      </c>
      <c r="H24" s="58">
        <f t="shared" si="3"/>
        <v>10.517241379310345</v>
      </c>
      <c r="N24" s="90">
        <v>0.125</v>
      </c>
      <c r="O24" s="89">
        <v>-2</v>
      </c>
      <c r="P24" s="9"/>
      <c r="Q24" s="80">
        <v>21</v>
      </c>
      <c r="R24" s="10">
        <f t="shared" si="4"/>
        <v>0</v>
      </c>
    </row>
    <row r="25" spans="1:18" ht="15" customHeight="1">
      <c r="A25" s="97"/>
      <c r="B25" s="54">
        <v>2018</v>
      </c>
      <c r="C25" s="55">
        <v>0.465</v>
      </c>
      <c r="D25" s="55">
        <f t="shared" si="0"/>
        <v>0.383625</v>
      </c>
      <c r="E25" s="56">
        <f t="shared" si="1"/>
        <v>67.77451938742261</v>
      </c>
      <c r="F25" s="57">
        <v>357</v>
      </c>
      <c r="G25" s="57">
        <f t="shared" si="2"/>
        <v>20</v>
      </c>
      <c r="H25" s="58">
        <f t="shared" si="3"/>
        <v>12.310344827586206</v>
      </c>
      <c r="N25" s="90">
        <v>0.1875</v>
      </c>
      <c r="O25" s="89">
        <v>-5</v>
      </c>
      <c r="P25" s="9"/>
      <c r="Q25" s="80">
        <v>22</v>
      </c>
      <c r="R25" s="10">
        <f t="shared" si="4"/>
        <v>1</v>
      </c>
    </row>
    <row r="26" spans="1:18" ht="15" customHeight="1">
      <c r="A26" s="97"/>
      <c r="B26" s="54">
        <v>2020</v>
      </c>
      <c r="C26" s="55">
        <v>0.445</v>
      </c>
      <c r="D26" s="55">
        <f t="shared" si="0"/>
        <v>0.367125</v>
      </c>
      <c r="E26" s="56">
        <f t="shared" si="1"/>
        <v>70.82056520258767</v>
      </c>
      <c r="F26" s="57">
        <v>392</v>
      </c>
      <c r="G26" s="57">
        <f t="shared" si="2"/>
        <v>20</v>
      </c>
      <c r="H26" s="58">
        <f t="shared" si="3"/>
        <v>13.517241379310345</v>
      </c>
      <c r="N26" s="90">
        <v>0.25</v>
      </c>
      <c r="O26" s="89">
        <v>-10</v>
      </c>
      <c r="P26" s="9"/>
      <c r="Q26" s="80">
        <v>23</v>
      </c>
      <c r="R26" s="10">
        <f t="shared" si="4"/>
        <v>2</v>
      </c>
    </row>
    <row r="27" spans="1:18" ht="15" customHeight="1">
      <c r="A27" s="97"/>
      <c r="B27" s="54">
        <v>2113</v>
      </c>
      <c r="C27" s="55">
        <v>0.53</v>
      </c>
      <c r="D27" s="55">
        <f t="shared" si="0"/>
        <v>0.43724999999999997</v>
      </c>
      <c r="E27" s="56">
        <f t="shared" si="1"/>
        <v>59.46255002858777</v>
      </c>
      <c r="F27" s="57">
        <v>270</v>
      </c>
      <c r="G27" s="57">
        <f t="shared" si="2"/>
        <v>21</v>
      </c>
      <c r="H27" s="58">
        <f t="shared" si="3"/>
        <v>9.310344827586206</v>
      </c>
      <c r="N27" s="91">
        <v>0.375</v>
      </c>
      <c r="O27" s="89">
        <v>-14</v>
      </c>
      <c r="P27" s="10"/>
      <c r="Q27" s="81">
        <v>24</v>
      </c>
      <c r="R27" s="10">
        <f t="shared" si="4"/>
        <v>3</v>
      </c>
    </row>
    <row r="28" spans="1:18" ht="15" customHeight="1">
      <c r="A28" s="97"/>
      <c r="B28" s="54">
        <v>2114</v>
      </c>
      <c r="C28" s="55">
        <v>0.5</v>
      </c>
      <c r="D28" s="55">
        <f t="shared" si="0"/>
        <v>0.4125</v>
      </c>
      <c r="E28" s="56">
        <f t="shared" si="1"/>
        <v>63.03030303030303</v>
      </c>
      <c r="F28" s="57">
        <v>285</v>
      </c>
      <c r="G28" s="57">
        <f t="shared" si="2"/>
        <v>21</v>
      </c>
      <c r="H28" s="58">
        <f t="shared" si="3"/>
        <v>9.827586206896552</v>
      </c>
      <c r="N28" s="91">
        <v>0.5</v>
      </c>
      <c r="O28" s="89">
        <v>-18</v>
      </c>
      <c r="P28" s="10"/>
      <c r="Q28" s="81">
        <v>25</v>
      </c>
      <c r="R28" s="10">
        <f t="shared" si="4"/>
        <v>4</v>
      </c>
    </row>
    <row r="29" spans="1:18" ht="15" customHeight="1">
      <c r="A29" s="97"/>
      <c r="B29" s="54">
        <v>2115</v>
      </c>
      <c r="C29" s="55">
        <v>0.46</v>
      </c>
      <c r="D29" s="55">
        <f t="shared" si="0"/>
        <v>0.3795</v>
      </c>
      <c r="E29" s="56">
        <f t="shared" si="1"/>
        <v>68.51119894598155</v>
      </c>
      <c r="F29" s="57">
        <v>313</v>
      </c>
      <c r="G29" s="57">
        <f t="shared" si="2"/>
        <v>21</v>
      </c>
      <c r="H29" s="58">
        <f t="shared" si="3"/>
        <v>10.793103448275861</v>
      </c>
      <c r="N29" s="91">
        <v>0.625</v>
      </c>
      <c r="O29" s="89">
        <v>-22</v>
      </c>
      <c r="P29" s="7"/>
      <c r="Q29" s="82">
        <v>26</v>
      </c>
      <c r="R29" s="7">
        <f t="shared" si="4"/>
        <v>5</v>
      </c>
    </row>
    <row r="30" spans="1:15" ht="15" customHeight="1">
      <c r="A30" s="97"/>
      <c r="B30" s="54">
        <v>2117</v>
      </c>
      <c r="C30" s="55">
        <v>0.402</v>
      </c>
      <c r="D30" s="55">
        <f t="shared" si="0"/>
        <v>0.33165</v>
      </c>
      <c r="E30" s="56">
        <f t="shared" si="1"/>
        <v>78.39589929142169</v>
      </c>
      <c r="F30" s="57">
        <v>347</v>
      </c>
      <c r="G30" s="57">
        <f t="shared" si="2"/>
        <v>21</v>
      </c>
      <c r="H30" s="58">
        <f t="shared" si="3"/>
        <v>11.96551724137931</v>
      </c>
      <c r="O30" s="1"/>
    </row>
    <row r="31" spans="1:17" ht="15" customHeight="1">
      <c r="A31" s="97"/>
      <c r="B31" s="54">
        <v>2213</v>
      </c>
      <c r="C31" s="55">
        <v>0.46</v>
      </c>
      <c r="D31" s="55">
        <f t="shared" si="0"/>
        <v>0.3795</v>
      </c>
      <c r="E31" s="56">
        <f t="shared" si="1"/>
        <v>68.51119894598155</v>
      </c>
      <c r="F31" s="57">
        <v>284</v>
      </c>
      <c r="G31" s="57">
        <f t="shared" si="2"/>
        <v>22</v>
      </c>
      <c r="H31" s="58">
        <f t="shared" si="3"/>
        <v>9.793103448275861</v>
      </c>
      <c r="N31" s="78" t="s">
        <v>1</v>
      </c>
      <c r="O31" s="11">
        <v>1</v>
      </c>
      <c r="P31" s="12"/>
      <c r="Q31" s="12"/>
    </row>
    <row r="32" spans="1:17" ht="15" customHeight="1">
      <c r="A32" s="97"/>
      <c r="B32" s="54">
        <v>2215</v>
      </c>
      <c r="C32" s="55">
        <v>0.413</v>
      </c>
      <c r="D32" s="55">
        <f t="shared" si="0"/>
        <v>0.34072499999999994</v>
      </c>
      <c r="E32" s="56">
        <f t="shared" si="1"/>
        <v>76.30787291804242</v>
      </c>
      <c r="F32" s="57">
        <v>312</v>
      </c>
      <c r="G32" s="57">
        <f t="shared" si="2"/>
        <v>22</v>
      </c>
      <c r="H32" s="58">
        <f t="shared" si="3"/>
        <v>10.758620689655173</v>
      </c>
      <c r="N32" s="79" t="s">
        <v>8</v>
      </c>
      <c r="O32" s="13">
        <v>1.05</v>
      </c>
      <c r="P32" s="12"/>
      <c r="Q32" s="12"/>
    </row>
    <row r="33" spans="1:8" ht="15" customHeight="1">
      <c r="A33" s="97"/>
      <c r="B33" s="54">
        <v>2216</v>
      </c>
      <c r="C33" s="55">
        <v>0.374</v>
      </c>
      <c r="D33" s="55">
        <f t="shared" si="0"/>
        <v>0.30855</v>
      </c>
      <c r="E33" s="56">
        <f t="shared" si="1"/>
        <v>84.26511100307891</v>
      </c>
      <c r="F33" s="57">
        <v>348</v>
      </c>
      <c r="G33" s="57">
        <f t="shared" si="2"/>
        <v>22</v>
      </c>
      <c r="H33" s="58">
        <f t="shared" si="3"/>
        <v>12</v>
      </c>
    </row>
    <row r="34" spans="1:16" ht="15" customHeight="1">
      <c r="A34" s="97"/>
      <c r="B34" s="54">
        <v>2219</v>
      </c>
      <c r="C34" s="55">
        <v>0.336</v>
      </c>
      <c r="D34" s="55">
        <f t="shared" si="0"/>
        <v>0.2772</v>
      </c>
      <c r="E34" s="56">
        <f t="shared" si="1"/>
        <v>93.79509379509379</v>
      </c>
      <c r="F34" s="57">
        <v>398</v>
      </c>
      <c r="G34" s="57">
        <f t="shared" si="2"/>
        <v>22</v>
      </c>
      <c r="H34" s="58">
        <f t="shared" si="3"/>
        <v>13.724137931034482</v>
      </c>
      <c r="N34" s="21" t="s">
        <v>97</v>
      </c>
      <c r="O34" s="21">
        <v>-0.25</v>
      </c>
      <c r="P34" s="21">
        <v>0</v>
      </c>
    </row>
    <row r="35" spans="1:16" ht="15" customHeight="1">
      <c r="A35" s="97"/>
      <c r="B35" s="54">
        <v>2314</v>
      </c>
      <c r="C35" s="55">
        <v>0.387</v>
      </c>
      <c r="D35" s="55">
        <f t="shared" si="0"/>
        <v>0.319275</v>
      </c>
      <c r="E35" s="56">
        <f t="shared" si="1"/>
        <v>81.4345000391512</v>
      </c>
      <c r="F35" s="57">
        <v>307</v>
      </c>
      <c r="G35" s="57">
        <f t="shared" si="2"/>
        <v>23</v>
      </c>
      <c r="H35" s="58">
        <f t="shared" si="3"/>
        <v>10.586206896551724</v>
      </c>
      <c r="N35" s="21" t="s">
        <v>48</v>
      </c>
      <c r="O35" s="21">
        <v>0</v>
      </c>
      <c r="P35" s="21">
        <v>15</v>
      </c>
    </row>
    <row r="36" spans="1:16" ht="15" customHeight="1">
      <c r="A36" s="97"/>
      <c r="B36" s="54">
        <v>2315</v>
      </c>
      <c r="C36" s="55">
        <v>0.338</v>
      </c>
      <c r="D36" s="55">
        <f t="shared" si="0"/>
        <v>0.27885</v>
      </c>
      <c r="E36" s="56">
        <f t="shared" si="1"/>
        <v>93.24009324009324</v>
      </c>
      <c r="F36" s="57">
        <v>338</v>
      </c>
      <c r="G36" s="57">
        <f t="shared" si="2"/>
        <v>23</v>
      </c>
      <c r="H36" s="58">
        <f t="shared" si="3"/>
        <v>11.655172413793103</v>
      </c>
      <c r="N36" s="21" t="s">
        <v>49</v>
      </c>
      <c r="O36" s="21">
        <v>0.25</v>
      </c>
      <c r="P36" s="21">
        <v>50</v>
      </c>
    </row>
    <row r="37" spans="1:16" ht="15" customHeight="1">
      <c r="A37" s="97"/>
      <c r="B37" s="54">
        <v>2317</v>
      </c>
      <c r="C37" s="55">
        <v>0.295</v>
      </c>
      <c r="D37" s="55">
        <f t="shared" si="0"/>
        <v>0.24337499999999998</v>
      </c>
      <c r="E37" s="56">
        <f t="shared" si="1"/>
        <v>106.83102208525938</v>
      </c>
      <c r="F37" s="57">
        <v>385</v>
      </c>
      <c r="G37" s="57">
        <f t="shared" si="2"/>
        <v>23</v>
      </c>
      <c r="H37" s="58">
        <f t="shared" si="3"/>
        <v>13.275862068965518</v>
      </c>
      <c r="N37" s="21" t="s">
        <v>50</v>
      </c>
      <c r="O37" s="21">
        <v>1</v>
      </c>
      <c r="P37" s="21">
        <v>100</v>
      </c>
    </row>
    <row r="38" spans="1:16" ht="15" customHeight="1">
      <c r="A38" s="97"/>
      <c r="B38" s="54">
        <v>2413</v>
      </c>
      <c r="C38" s="55">
        <v>0.362</v>
      </c>
      <c r="D38" s="55">
        <f t="shared" si="0"/>
        <v>0.29864999999999997</v>
      </c>
      <c r="E38" s="56">
        <f t="shared" si="1"/>
        <v>87.05842959986607</v>
      </c>
      <c r="F38" s="57">
        <v>302</v>
      </c>
      <c r="G38" s="57">
        <f t="shared" si="2"/>
        <v>24</v>
      </c>
      <c r="H38" s="58">
        <f t="shared" si="3"/>
        <v>10.413793103448276</v>
      </c>
      <c r="N38" s="21" t="s">
        <v>52</v>
      </c>
      <c r="O38" s="21">
        <v>1.25</v>
      </c>
      <c r="P38" s="21">
        <v>150</v>
      </c>
    </row>
    <row r="39" spans="1:16" ht="15" customHeight="1">
      <c r="A39" s="97"/>
      <c r="B39" s="54">
        <v>2419</v>
      </c>
      <c r="C39" s="55">
        <v>0.264</v>
      </c>
      <c r="D39" s="55">
        <f t="shared" si="0"/>
        <v>0.2178</v>
      </c>
      <c r="E39" s="56">
        <f t="shared" si="1"/>
        <v>119.37557392102848</v>
      </c>
      <c r="F39" s="57">
        <v>422</v>
      </c>
      <c r="G39" s="57">
        <f t="shared" si="2"/>
        <v>24</v>
      </c>
      <c r="H39" s="58">
        <f t="shared" si="3"/>
        <v>14.551724137931034</v>
      </c>
      <c r="N39" s="21" t="s">
        <v>100</v>
      </c>
      <c r="O39" s="21">
        <v>1.25</v>
      </c>
      <c r="P39" s="21">
        <v>15</v>
      </c>
    </row>
    <row r="40" spans="1:16" ht="15" customHeight="1">
      <c r="A40" s="97"/>
      <c r="B40" s="54">
        <v>2514</v>
      </c>
      <c r="C40" s="55">
        <v>0.302</v>
      </c>
      <c r="D40" s="55">
        <f t="shared" si="0"/>
        <v>0.24914999999999998</v>
      </c>
      <c r="E40" s="56">
        <f t="shared" si="1"/>
        <v>104.35480634156131</v>
      </c>
      <c r="F40" s="57">
        <v>328</v>
      </c>
      <c r="G40" s="57">
        <f t="shared" si="2"/>
        <v>25</v>
      </c>
      <c r="H40" s="58">
        <f t="shared" si="3"/>
        <v>11.310344827586206</v>
      </c>
      <c r="N40" s="21" t="s">
        <v>98</v>
      </c>
      <c r="O40" s="21">
        <v>1.25</v>
      </c>
      <c r="P40" s="21">
        <v>75</v>
      </c>
    </row>
    <row r="41" spans="1:16" ht="15" customHeight="1">
      <c r="A41" s="97"/>
      <c r="B41" s="54">
        <v>2613</v>
      </c>
      <c r="C41" s="55">
        <v>0.288</v>
      </c>
      <c r="D41" s="55">
        <f t="shared" si="0"/>
        <v>0.23759999999999998</v>
      </c>
      <c r="E41" s="56">
        <f t="shared" si="1"/>
        <v>109.42760942760944</v>
      </c>
      <c r="F41" s="57">
        <v>340</v>
      </c>
      <c r="G41" s="57">
        <f t="shared" si="2"/>
        <v>26</v>
      </c>
      <c r="H41" s="58">
        <f t="shared" si="3"/>
        <v>11.724137931034482</v>
      </c>
      <c r="N41" s="21" t="s">
        <v>99</v>
      </c>
      <c r="O41" s="21">
        <v>1.25</v>
      </c>
      <c r="P41" s="21">
        <v>100</v>
      </c>
    </row>
    <row r="42" spans="1:8" ht="15" customHeight="1" thickBot="1">
      <c r="A42" s="97"/>
      <c r="B42" s="61" t="s">
        <v>9</v>
      </c>
      <c r="C42" s="55">
        <v>0.3</v>
      </c>
      <c r="D42" s="55">
        <f t="shared" si="0"/>
        <v>0.24749999999999997</v>
      </c>
      <c r="E42" s="56">
        <f t="shared" si="1"/>
        <v>105.05050505050507</v>
      </c>
      <c r="F42" s="57">
        <f>10.1*29</f>
        <v>292.9</v>
      </c>
      <c r="G42" s="57">
        <v>20</v>
      </c>
      <c r="H42" s="58">
        <f t="shared" si="3"/>
        <v>10.1</v>
      </c>
    </row>
    <row r="43" spans="1:17" ht="15" customHeight="1" thickBot="1">
      <c r="A43" s="97"/>
      <c r="B43" s="61" t="s">
        <v>10</v>
      </c>
      <c r="C43" s="55">
        <v>0.34</v>
      </c>
      <c r="D43" s="55">
        <f t="shared" si="0"/>
        <v>0.2805</v>
      </c>
      <c r="E43" s="56">
        <f t="shared" si="1"/>
        <v>92.6916221033868</v>
      </c>
      <c r="F43" s="57">
        <f>10*29</f>
        <v>290</v>
      </c>
      <c r="G43" s="57">
        <v>20</v>
      </c>
      <c r="H43" s="58">
        <f t="shared" si="3"/>
        <v>10</v>
      </c>
      <c r="Q43" s="17">
        <f>((VLOOKUP(B5,shaft,7,FALSE)*D5*D5)/2+C5*(D5-VLOOKUP(E5,insert,2,FALSE)-0.25)^2/2+VLOOKUP(H5,empenage,2,FALSE)*(D5-2.5)+D5*G5)/(F5+VLOOKUP(E5,insert,3,FALSE)+(VLOOKUP(B5,shaft,7,FALSE)*D5)+(D5-VLOOKUP(E5,insert,2,FALSE)-0.25)*C5+VLOOKUP(H5,empenage,2,FALSE)+G5+10)</f>
        <v>10.587917042380523</v>
      </c>
    </row>
    <row r="44" spans="1:17" ht="15" customHeight="1">
      <c r="A44" s="97"/>
      <c r="B44" s="61" t="s">
        <v>11</v>
      </c>
      <c r="C44" s="55">
        <v>0.4</v>
      </c>
      <c r="D44" s="55">
        <f t="shared" si="0"/>
        <v>0.33</v>
      </c>
      <c r="E44" s="56">
        <f t="shared" si="1"/>
        <v>78.78787878787878</v>
      </c>
      <c r="F44" s="57">
        <f>9.1*29</f>
        <v>263.9</v>
      </c>
      <c r="G44" s="57">
        <v>20</v>
      </c>
      <c r="H44" s="58">
        <f t="shared" si="3"/>
        <v>9.1</v>
      </c>
      <c r="N44" s="16"/>
      <c r="O44" s="16"/>
      <c r="P44" s="4" t="s">
        <v>26</v>
      </c>
      <c r="Q44" s="1">
        <f>VLOOKUP(B5,shaft,6,FALSE)</f>
        <v>22</v>
      </c>
    </row>
    <row r="45" spans="1:17" ht="15" customHeight="1">
      <c r="A45" s="97" t="s">
        <v>84</v>
      </c>
      <c r="B45" s="61" t="s">
        <v>12</v>
      </c>
      <c r="C45" s="55">
        <v>0.5</v>
      </c>
      <c r="D45" s="55">
        <f t="shared" si="0"/>
        <v>0.4125</v>
      </c>
      <c r="E45" s="56">
        <f t="shared" si="1"/>
        <v>63.03030303030303</v>
      </c>
      <c r="F45" s="57">
        <f>8*29</f>
        <v>232</v>
      </c>
      <c r="G45" s="57">
        <v>19</v>
      </c>
      <c r="H45" s="58">
        <f t="shared" si="3"/>
        <v>8</v>
      </c>
      <c r="P45" s="47" t="s">
        <v>88</v>
      </c>
      <c r="Q45" s="1">
        <f>VLOOKUP(Q44,diam,2,FALSE)</f>
        <v>1</v>
      </c>
    </row>
    <row r="46" spans="1:16" ht="15" customHeight="1">
      <c r="A46" s="97"/>
      <c r="B46" s="61" t="s">
        <v>13</v>
      </c>
      <c r="C46" s="55">
        <v>0.6</v>
      </c>
      <c r="D46" s="55">
        <f t="shared" si="0"/>
        <v>0.49499999999999994</v>
      </c>
      <c r="E46" s="56">
        <f t="shared" si="1"/>
        <v>52.52525252525253</v>
      </c>
      <c r="F46" s="57">
        <f>7.6*29</f>
        <v>220.39999999999998</v>
      </c>
      <c r="G46" s="57">
        <v>19</v>
      </c>
      <c r="H46" s="58">
        <f t="shared" si="3"/>
        <v>7.6</v>
      </c>
      <c r="P46" s="47" t="s">
        <v>89</v>
      </c>
    </row>
    <row r="47" spans="1:8" ht="15" customHeight="1">
      <c r="A47" s="97"/>
      <c r="B47" s="61" t="s">
        <v>14</v>
      </c>
      <c r="C47" s="55">
        <v>0.5</v>
      </c>
      <c r="D47" s="55">
        <f t="shared" si="0"/>
        <v>0.4125</v>
      </c>
      <c r="E47" s="56">
        <f t="shared" si="1"/>
        <v>63.03030303030303</v>
      </c>
      <c r="F47" s="57">
        <f>8.6*29</f>
        <v>249.39999999999998</v>
      </c>
      <c r="G47" s="57">
        <v>20</v>
      </c>
      <c r="H47" s="58">
        <f t="shared" si="3"/>
        <v>8.6</v>
      </c>
    </row>
    <row r="48" spans="1:14" ht="15" customHeight="1">
      <c r="A48" s="97"/>
      <c r="B48" s="61" t="s">
        <v>15</v>
      </c>
      <c r="C48" s="55">
        <v>0.4</v>
      </c>
      <c r="D48" s="55">
        <f t="shared" si="0"/>
        <v>0.33</v>
      </c>
      <c r="E48" s="56">
        <f t="shared" si="1"/>
        <v>78.78787878787878</v>
      </c>
      <c r="F48" s="57">
        <f>9.3*29</f>
        <v>269.70000000000005</v>
      </c>
      <c r="G48" s="57">
        <v>20</v>
      </c>
      <c r="H48" s="58">
        <f t="shared" si="3"/>
        <v>9.3</v>
      </c>
      <c r="N48" s="1"/>
    </row>
    <row r="49" spans="1:14" ht="15" customHeight="1">
      <c r="A49" s="114" t="s">
        <v>41</v>
      </c>
      <c r="B49" s="61" t="s">
        <v>16</v>
      </c>
      <c r="C49" s="55">
        <v>0.3</v>
      </c>
      <c r="D49" s="55">
        <f t="shared" si="0"/>
        <v>0.24749999999999997</v>
      </c>
      <c r="E49" s="56">
        <f t="shared" si="1"/>
        <v>105.05050505050507</v>
      </c>
      <c r="F49" s="57">
        <f>11*29</f>
        <v>319</v>
      </c>
      <c r="G49" s="57">
        <v>20</v>
      </c>
      <c r="H49" s="58">
        <f t="shared" si="3"/>
        <v>11</v>
      </c>
      <c r="N49" s="1"/>
    </row>
    <row r="50" spans="1:14" ht="15" customHeight="1">
      <c r="A50" s="114"/>
      <c r="B50" s="54" t="s">
        <v>43</v>
      </c>
      <c r="C50" s="55">
        <v>0.53</v>
      </c>
      <c r="D50" s="55">
        <f aca="true" t="shared" si="5" ref="D50:D96">C50*0.825</f>
        <v>0.43724999999999997</v>
      </c>
      <c r="E50" s="56">
        <f aca="true" t="shared" si="6" ref="E50:E96">26/D50</f>
        <v>59.46255002858777</v>
      </c>
      <c r="F50" s="62">
        <v>272.6</v>
      </c>
      <c r="G50" s="62">
        <v>19</v>
      </c>
      <c r="H50" s="58">
        <f aca="true" t="shared" si="7" ref="H50:H56">F50/29</f>
        <v>9.4</v>
      </c>
      <c r="N50" s="1"/>
    </row>
    <row r="51" spans="1:14" ht="15" customHeight="1">
      <c r="A51" s="114"/>
      <c r="B51" s="54" t="s">
        <v>44</v>
      </c>
      <c r="C51" s="55">
        <v>0.473</v>
      </c>
      <c r="D51" s="55">
        <f t="shared" si="5"/>
        <v>0.39022499999999993</v>
      </c>
      <c r="E51" s="56">
        <f t="shared" si="6"/>
        <v>66.62822730476009</v>
      </c>
      <c r="F51" s="62">
        <v>290</v>
      </c>
      <c r="G51" s="62">
        <v>20</v>
      </c>
      <c r="H51" s="58">
        <f t="shared" si="7"/>
        <v>10</v>
      </c>
      <c r="N51" s="1"/>
    </row>
    <row r="52" spans="1:14" ht="15" customHeight="1">
      <c r="A52" s="114"/>
      <c r="B52" s="54" t="s">
        <v>45</v>
      </c>
      <c r="C52" s="55">
        <v>0.37</v>
      </c>
      <c r="D52" s="55">
        <f t="shared" si="5"/>
        <v>0.30524999999999997</v>
      </c>
      <c r="E52" s="56">
        <f t="shared" si="6"/>
        <v>85.17608517608518</v>
      </c>
      <c r="F52" s="62">
        <v>319</v>
      </c>
      <c r="G52" s="62">
        <v>20</v>
      </c>
      <c r="H52" s="58">
        <f t="shared" si="7"/>
        <v>11</v>
      </c>
      <c r="M52" s="1"/>
      <c r="N52" s="1"/>
    </row>
    <row r="53" spans="1:14" ht="15" customHeight="1">
      <c r="A53" s="97" t="s">
        <v>42</v>
      </c>
      <c r="B53" s="54" t="s">
        <v>46</v>
      </c>
      <c r="C53" s="55">
        <v>0.32</v>
      </c>
      <c r="D53" s="55">
        <f t="shared" si="5"/>
        <v>0.264</v>
      </c>
      <c r="E53" s="56">
        <f t="shared" si="6"/>
        <v>98.48484848484848</v>
      </c>
      <c r="F53" s="62">
        <v>348</v>
      </c>
      <c r="G53" s="62">
        <v>20</v>
      </c>
      <c r="H53" s="58">
        <f t="shared" si="7"/>
        <v>12</v>
      </c>
      <c r="M53" s="1"/>
      <c r="N53" s="1"/>
    </row>
    <row r="54" spans="1:14" ht="15" customHeight="1">
      <c r="A54" s="97"/>
      <c r="B54" s="54" t="s">
        <v>17</v>
      </c>
      <c r="C54" s="55">
        <v>0.4</v>
      </c>
      <c r="D54" s="55">
        <f t="shared" si="5"/>
        <v>0.33</v>
      </c>
      <c r="E54" s="56">
        <f t="shared" si="6"/>
        <v>78.78787878787878</v>
      </c>
      <c r="F54" s="62">
        <v>258.1</v>
      </c>
      <c r="G54" s="62">
        <v>20</v>
      </c>
      <c r="H54" s="58">
        <f t="shared" si="7"/>
        <v>8.9</v>
      </c>
      <c r="M54" s="1"/>
      <c r="N54" s="1"/>
    </row>
    <row r="55" spans="1:14" ht="15" customHeight="1">
      <c r="A55" s="97"/>
      <c r="B55" s="54" t="s">
        <v>18</v>
      </c>
      <c r="C55" s="55">
        <v>0.35</v>
      </c>
      <c r="D55" s="55">
        <f t="shared" si="5"/>
        <v>0.28874999999999995</v>
      </c>
      <c r="E55" s="56">
        <f t="shared" si="6"/>
        <v>90.04329004329006</v>
      </c>
      <c r="F55" s="62">
        <v>287.1</v>
      </c>
      <c r="G55" s="62">
        <v>20</v>
      </c>
      <c r="H55" s="58">
        <f t="shared" si="7"/>
        <v>9.9</v>
      </c>
      <c r="M55" s="1"/>
      <c r="N55" s="1"/>
    </row>
    <row r="56" spans="1:14" ht="15" customHeight="1">
      <c r="A56" s="97"/>
      <c r="B56" s="63" t="s">
        <v>19</v>
      </c>
      <c r="C56" s="64">
        <v>0.3</v>
      </c>
      <c r="D56" s="64">
        <f t="shared" si="5"/>
        <v>0.24749999999999997</v>
      </c>
      <c r="E56" s="65">
        <f t="shared" si="6"/>
        <v>105.05050505050507</v>
      </c>
      <c r="F56" s="66">
        <v>319</v>
      </c>
      <c r="G56" s="66">
        <v>19</v>
      </c>
      <c r="H56" s="67">
        <f t="shared" si="7"/>
        <v>11</v>
      </c>
      <c r="M56" s="1"/>
      <c r="N56" s="1"/>
    </row>
    <row r="57" spans="1:14" ht="15" customHeight="1">
      <c r="A57" s="114" t="s">
        <v>47</v>
      </c>
      <c r="B57" s="68" t="s">
        <v>81</v>
      </c>
      <c r="C57" s="69">
        <v>0.34</v>
      </c>
      <c r="D57" s="70">
        <f t="shared" si="5"/>
        <v>0.2805</v>
      </c>
      <c r="E57" s="71">
        <f t="shared" si="6"/>
        <v>92.6916221033868</v>
      </c>
      <c r="F57" s="69">
        <f>H57*29</f>
        <v>324.79999999999995</v>
      </c>
      <c r="G57" s="69">
        <v>18</v>
      </c>
      <c r="H57" s="69">
        <v>11.2</v>
      </c>
      <c r="M57" s="1"/>
      <c r="N57" s="1"/>
    </row>
    <row r="58" spans="1:14" ht="15" customHeight="1">
      <c r="A58" s="114"/>
      <c r="B58" s="68" t="s">
        <v>82</v>
      </c>
      <c r="C58" s="69">
        <v>0.4</v>
      </c>
      <c r="D58" s="70">
        <f t="shared" si="5"/>
        <v>0.33</v>
      </c>
      <c r="E58" s="71">
        <f t="shared" si="6"/>
        <v>78.78787878787878</v>
      </c>
      <c r="F58" s="69">
        <f aca="true" t="shared" si="8" ref="F58:F96">H58*29</f>
        <v>301.6</v>
      </c>
      <c r="G58" s="69">
        <v>18</v>
      </c>
      <c r="H58" s="69">
        <v>10.4</v>
      </c>
      <c r="M58" s="1"/>
      <c r="N58" s="1"/>
    </row>
    <row r="59" spans="1:14" ht="15" customHeight="1">
      <c r="A59" s="114"/>
      <c r="B59" s="68" t="s">
        <v>83</v>
      </c>
      <c r="C59" s="69">
        <v>0.5</v>
      </c>
      <c r="D59" s="70">
        <f t="shared" si="5"/>
        <v>0.4125</v>
      </c>
      <c r="E59" s="71">
        <f t="shared" si="6"/>
        <v>63.03030303030303</v>
      </c>
      <c r="F59" s="69">
        <f t="shared" si="8"/>
        <v>281.29999999999995</v>
      </c>
      <c r="G59" s="69">
        <v>18</v>
      </c>
      <c r="H59" s="69">
        <v>9.7</v>
      </c>
      <c r="M59" s="1"/>
      <c r="N59" s="1"/>
    </row>
    <row r="60" spans="1:13" ht="15" customHeight="1">
      <c r="A60" s="94" t="s">
        <v>68</v>
      </c>
      <c r="B60" s="68" t="s">
        <v>77</v>
      </c>
      <c r="C60" s="69">
        <v>0.3</v>
      </c>
      <c r="D60" s="70">
        <f t="shared" si="5"/>
        <v>0.24749999999999997</v>
      </c>
      <c r="E60" s="71">
        <f t="shared" si="6"/>
        <v>105.05050505050507</v>
      </c>
      <c r="F60" s="69">
        <f aca="true" t="shared" si="9" ref="F60:F77">H60*29</f>
        <v>339.29999999999995</v>
      </c>
      <c r="G60" s="69">
        <v>20</v>
      </c>
      <c r="H60" s="69">
        <v>11.7</v>
      </c>
      <c r="M60" s="1"/>
    </row>
    <row r="61" spans="1:13" ht="15" customHeight="1">
      <c r="A61" s="95"/>
      <c r="B61" s="68" t="s">
        <v>78</v>
      </c>
      <c r="C61" s="69">
        <v>0.34</v>
      </c>
      <c r="D61" s="70">
        <f t="shared" si="5"/>
        <v>0.2805</v>
      </c>
      <c r="E61" s="71">
        <f t="shared" si="6"/>
        <v>92.6916221033868</v>
      </c>
      <c r="F61" s="69">
        <f t="shared" si="9"/>
        <v>301.6</v>
      </c>
      <c r="G61" s="69">
        <v>18</v>
      </c>
      <c r="H61" s="69">
        <v>10.4</v>
      </c>
      <c r="M61" s="1"/>
    </row>
    <row r="62" spans="1:8" ht="15" customHeight="1">
      <c r="A62" s="95"/>
      <c r="B62" s="68" t="s">
        <v>79</v>
      </c>
      <c r="C62" s="69">
        <v>0.4</v>
      </c>
      <c r="D62" s="70">
        <f t="shared" si="5"/>
        <v>0.33</v>
      </c>
      <c r="E62" s="71">
        <f t="shared" si="6"/>
        <v>78.78787878787878</v>
      </c>
      <c r="F62" s="69">
        <f t="shared" si="9"/>
        <v>278.4</v>
      </c>
      <c r="G62" s="69">
        <v>18</v>
      </c>
      <c r="H62" s="69">
        <v>9.6</v>
      </c>
    </row>
    <row r="63" spans="1:13" ht="15" customHeight="1">
      <c r="A63" s="95"/>
      <c r="B63" s="68" t="s">
        <v>80</v>
      </c>
      <c r="C63" s="69">
        <v>0.5</v>
      </c>
      <c r="D63" s="70">
        <f t="shared" si="5"/>
        <v>0.4125</v>
      </c>
      <c r="E63" s="71">
        <f t="shared" si="6"/>
        <v>63.03030303030303</v>
      </c>
      <c r="F63" s="69">
        <f t="shared" si="9"/>
        <v>258.1</v>
      </c>
      <c r="G63" s="69">
        <v>17</v>
      </c>
      <c r="H63" s="69">
        <v>8.9</v>
      </c>
      <c r="M63" s="1"/>
    </row>
    <row r="64" spans="1:13" ht="15" customHeight="1">
      <c r="A64" s="95"/>
      <c r="B64" s="68" t="s">
        <v>62</v>
      </c>
      <c r="C64" s="69">
        <v>0.3</v>
      </c>
      <c r="D64" s="70">
        <f aca="true" t="shared" si="10" ref="D64:D77">C64*0.825</f>
        <v>0.24749999999999997</v>
      </c>
      <c r="E64" s="71">
        <f aca="true" t="shared" si="11" ref="E64:E77">26/D64</f>
        <v>105.05050505050507</v>
      </c>
      <c r="F64" s="69">
        <f t="shared" si="9"/>
        <v>449.5</v>
      </c>
      <c r="G64" s="69">
        <v>18</v>
      </c>
      <c r="H64" s="69">
        <v>15.5</v>
      </c>
      <c r="M64" s="1"/>
    </row>
    <row r="65" spans="1:13" ht="15" customHeight="1">
      <c r="A65" s="95"/>
      <c r="B65" s="68" t="s">
        <v>63</v>
      </c>
      <c r="C65" s="69">
        <v>0.25</v>
      </c>
      <c r="D65" s="70">
        <f t="shared" si="10"/>
        <v>0.20625</v>
      </c>
      <c r="E65" s="71">
        <f t="shared" si="11"/>
        <v>126.06060606060606</v>
      </c>
      <c r="F65" s="69">
        <f t="shared" si="9"/>
        <v>498.79999999999995</v>
      </c>
      <c r="G65" s="69">
        <v>18</v>
      </c>
      <c r="H65" s="69">
        <v>17.2</v>
      </c>
      <c r="M65" s="1"/>
    </row>
    <row r="66" spans="1:13" ht="15" customHeight="1">
      <c r="A66" s="96"/>
      <c r="B66" s="68" t="s">
        <v>64</v>
      </c>
      <c r="C66" s="69">
        <v>0.3</v>
      </c>
      <c r="D66" s="70">
        <f t="shared" si="10"/>
        <v>0.24749999999999997</v>
      </c>
      <c r="E66" s="71">
        <f t="shared" si="11"/>
        <v>105.05050505050507</v>
      </c>
      <c r="F66" s="69">
        <f t="shared" si="9"/>
        <v>348</v>
      </c>
      <c r="G66" s="69">
        <v>18</v>
      </c>
      <c r="H66" s="69">
        <v>12</v>
      </c>
      <c r="M66" s="1"/>
    </row>
    <row r="67" spans="1:8" ht="15" customHeight="1">
      <c r="A67" s="94" t="s">
        <v>40</v>
      </c>
      <c r="B67" s="68" t="s">
        <v>65</v>
      </c>
      <c r="C67" s="69">
        <v>0.34</v>
      </c>
      <c r="D67" s="70">
        <f t="shared" si="10"/>
        <v>0.2805</v>
      </c>
      <c r="E67" s="71">
        <f t="shared" si="11"/>
        <v>92.6916221033868</v>
      </c>
      <c r="F67" s="69">
        <f t="shared" si="9"/>
        <v>327.70000000000005</v>
      </c>
      <c r="G67" s="69">
        <v>18</v>
      </c>
      <c r="H67" s="69">
        <v>11.3</v>
      </c>
    </row>
    <row r="68" spans="1:8" ht="15" customHeight="1">
      <c r="A68" s="95"/>
      <c r="B68" s="68" t="s">
        <v>66</v>
      </c>
      <c r="C68" s="69">
        <v>0.4</v>
      </c>
      <c r="D68" s="70">
        <f t="shared" si="10"/>
        <v>0.33</v>
      </c>
      <c r="E68" s="71">
        <f t="shared" si="11"/>
        <v>78.78787878787878</v>
      </c>
      <c r="F68" s="69">
        <f t="shared" si="9"/>
        <v>295.79999999999995</v>
      </c>
      <c r="G68" s="69">
        <v>17</v>
      </c>
      <c r="H68" s="69">
        <v>10.2</v>
      </c>
    </row>
    <row r="69" spans="1:8" ht="15" customHeight="1">
      <c r="A69" s="95"/>
      <c r="B69" s="68" t="s">
        <v>67</v>
      </c>
      <c r="C69" s="69">
        <v>0.5</v>
      </c>
      <c r="D69" s="70">
        <f t="shared" si="10"/>
        <v>0.4125</v>
      </c>
      <c r="E69" s="71">
        <f t="shared" si="11"/>
        <v>63.03030303030303</v>
      </c>
      <c r="F69" s="69">
        <f t="shared" si="9"/>
        <v>263.9</v>
      </c>
      <c r="G69" s="69">
        <v>17</v>
      </c>
      <c r="H69" s="69">
        <v>9.1</v>
      </c>
    </row>
    <row r="70" spans="1:8" ht="15" customHeight="1">
      <c r="A70" s="95"/>
      <c r="B70" s="68" t="s">
        <v>69</v>
      </c>
      <c r="C70" s="69">
        <v>0.3</v>
      </c>
      <c r="D70" s="70">
        <f t="shared" si="10"/>
        <v>0.24749999999999997</v>
      </c>
      <c r="E70" s="71">
        <f t="shared" si="11"/>
        <v>105.05050505050507</v>
      </c>
      <c r="F70" s="69">
        <f t="shared" si="9"/>
        <v>333.5</v>
      </c>
      <c r="G70" s="69">
        <v>18</v>
      </c>
      <c r="H70" s="69">
        <v>11.5</v>
      </c>
    </row>
    <row r="71" spans="1:8" ht="15" customHeight="1">
      <c r="A71" s="95"/>
      <c r="B71" s="68" t="s">
        <v>70</v>
      </c>
      <c r="C71" s="69">
        <v>0.34</v>
      </c>
      <c r="D71" s="70">
        <f t="shared" si="10"/>
        <v>0.2805</v>
      </c>
      <c r="E71" s="71">
        <f t="shared" si="11"/>
        <v>92.6916221033868</v>
      </c>
      <c r="F71" s="69">
        <f t="shared" si="9"/>
        <v>298.70000000000005</v>
      </c>
      <c r="G71" s="69">
        <v>18</v>
      </c>
      <c r="H71" s="69">
        <v>10.3</v>
      </c>
    </row>
    <row r="72" spans="1:8" ht="15" customHeight="1">
      <c r="A72" s="95"/>
      <c r="B72" s="68" t="s">
        <v>71</v>
      </c>
      <c r="C72" s="69">
        <v>0.4</v>
      </c>
      <c r="D72" s="70">
        <f t="shared" si="10"/>
        <v>0.33</v>
      </c>
      <c r="E72" s="71">
        <f t="shared" si="11"/>
        <v>78.78787878787878</v>
      </c>
      <c r="F72" s="69">
        <f t="shared" si="9"/>
        <v>284.20000000000005</v>
      </c>
      <c r="G72" s="69">
        <v>18</v>
      </c>
      <c r="H72" s="69">
        <v>9.8</v>
      </c>
    </row>
    <row r="73" spans="1:8" ht="15" customHeight="1">
      <c r="A73" s="95"/>
      <c r="B73" s="68" t="s">
        <v>72</v>
      </c>
      <c r="C73" s="69">
        <v>0.5</v>
      </c>
      <c r="D73" s="70">
        <f t="shared" si="10"/>
        <v>0.4125</v>
      </c>
      <c r="E73" s="71">
        <f t="shared" si="11"/>
        <v>63.03030303030303</v>
      </c>
      <c r="F73" s="69">
        <f t="shared" si="9"/>
        <v>258.1</v>
      </c>
      <c r="G73" s="69">
        <v>17</v>
      </c>
      <c r="H73" s="69">
        <v>8.9</v>
      </c>
    </row>
    <row r="74" spans="1:8" ht="15" customHeight="1">
      <c r="A74" s="95"/>
      <c r="B74" s="68" t="s">
        <v>76</v>
      </c>
      <c r="C74" s="69">
        <v>0.3</v>
      </c>
      <c r="D74" s="70">
        <f t="shared" si="10"/>
        <v>0.24749999999999997</v>
      </c>
      <c r="E74" s="71">
        <f t="shared" si="11"/>
        <v>105.05050505050507</v>
      </c>
      <c r="F74" s="69">
        <f t="shared" si="9"/>
        <v>290</v>
      </c>
      <c r="G74" s="69">
        <v>18</v>
      </c>
      <c r="H74" s="69">
        <v>10</v>
      </c>
    </row>
    <row r="75" spans="1:8" ht="15" customHeight="1">
      <c r="A75" s="95"/>
      <c r="B75" s="68" t="s">
        <v>73</v>
      </c>
      <c r="C75" s="69">
        <v>0.34</v>
      </c>
      <c r="D75" s="70">
        <f t="shared" si="10"/>
        <v>0.2805</v>
      </c>
      <c r="E75" s="71">
        <f t="shared" si="11"/>
        <v>92.6916221033868</v>
      </c>
      <c r="F75" s="69">
        <f t="shared" si="9"/>
        <v>275.5</v>
      </c>
      <c r="G75" s="69">
        <v>18</v>
      </c>
      <c r="H75" s="69">
        <v>9.5</v>
      </c>
    </row>
    <row r="76" spans="1:8" ht="15" customHeight="1">
      <c r="A76" s="95"/>
      <c r="B76" s="68" t="s">
        <v>74</v>
      </c>
      <c r="C76" s="69">
        <v>0.4</v>
      </c>
      <c r="D76" s="70">
        <f t="shared" si="10"/>
        <v>0.33</v>
      </c>
      <c r="E76" s="71">
        <f t="shared" si="11"/>
        <v>78.78787878787878</v>
      </c>
      <c r="F76" s="69">
        <f t="shared" si="9"/>
        <v>249.39999999999998</v>
      </c>
      <c r="G76" s="69">
        <v>18</v>
      </c>
      <c r="H76" s="69">
        <v>8.6</v>
      </c>
    </row>
    <row r="77" spans="1:8" ht="15" customHeight="1">
      <c r="A77" s="95"/>
      <c r="B77" s="68" t="s">
        <v>75</v>
      </c>
      <c r="C77" s="69">
        <v>0.5</v>
      </c>
      <c r="D77" s="70">
        <f t="shared" si="10"/>
        <v>0.4125</v>
      </c>
      <c r="E77" s="71">
        <f t="shared" si="11"/>
        <v>63.03030303030303</v>
      </c>
      <c r="F77" s="69">
        <f t="shared" si="9"/>
        <v>211.7</v>
      </c>
      <c r="G77" s="69">
        <v>18</v>
      </c>
      <c r="H77" s="69">
        <v>7.3</v>
      </c>
    </row>
    <row r="78" spans="1:8" ht="15" customHeight="1">
      <c r="A78" s="95"/>
      <c r="B78" s="68" t="s">
        <v>85</v>
      </c>
      <c r="C78" s="69">
        <v>0.397</v>
      </c>
      <c r="D78" s="70">
        <f t="shared" si="5"/>
        <v>0.327525</v>
      </c>
      <c r="E78" s="71">
        <f t="shared" si="6"/>
        <v>79.38325318677963</v>
      </c>
      <c r="F78" s="69">
        <f t="shared" si="8"/>
        <v>307.4</v>
      </c>
      <c r="G78" s="69">
        <v>20</v>
      </c>
      <c r="H78" s="69">
        <v>10.6</v>
      </c>
    </row>
    <row r="79" spans="1:8" ht="15" customHeight="1">
      <c r="A79" s="95"/>
      <c r="B79" s="68" t="s">
        <v>86</v>
      </c>
      <c r="C79" s="69">
        <v>0.342</v>
      </c>
      <c r="D79" s="70">
        <f t="shared" si="5"/>
        <v>0.28215</v>
      </c>
      <c r="E79" s="71">
        <f t="shared" si="6"/>
        <v>92.14956583377635</v>
      </c>
      <c r="F79" s="69">
        <f t="shared" si="8"/>
        <v>327.70000000000005</v>
      </c>
      <c r="G79" s="69">
        <v>20</v>
      </c>
      <c r="H79" s="69">
        <v>11.3</v>
      </c>
    </row>
    <row r="80" spans="1:8" ht="15" customHeight="1">
      <c r="A80" s="96"/>
      <c r="B80" s="68" t="s">
        <v>87</v>
      </c>
      <c r="C80" s="69">
        <v>0.297</v>
      </c>
      <c r="D80" s="70">
        <f t="shared" si="5"/>
        <v>0.24502499999999997</v>
      </c>
      <c r="E80" s="71">
        <f t="shared" si="6"/>
        <v>106.11162126313643</v>
      </c>
      <c r="F80" s="69">
        <f t="shared" si="8"/>
        <v>397.29999999999995</v>
      </c>
      <c r="G80" s="69">
        <v>20</v>
      </c>
      <c r="H80" s="69">
        <v>13.7</v>
      </c>
    </row>
    <row r="81" spans="1:8" ht="15" customHeight="1">
      <c r="A81" s="104" t="s">
        <v>42</v>
      </c>
      <c r="B81" s="44"/>
      <c r="C81" s="45"/>
      <c r="D81" s="41">
        <f t="shared" si="5"/>
        <v>0</v>
      </c>
      <c r="E81" s="42" t="e">
        <f t="shared" si="6"/>
        <v>#DIV/0!</v>
      </c>
      <c r="F81" s="43">
        <f t="shared" si="8"/>
        <v>0</v>
      </c>
      <c r="G81" s="72"/>
      <c r="H81" s="45"/>
    </row>
    <row r="82" spans="1:8" ht="15" customHeight="1">
      <c r="A82" s="105"/>
      <c r="B82" s="44"/>
      <c r="C82" s="45"/>
      <c r="D82" s="41">
        <f t="shared" si="5"/>
        <v>0</v>
      </c>
      <c r="E82" s="42" t="e">
        <f t="shared" si="6"/>
        <v>#DIV/0!</v>
      </c>
      <c r="F82" s="43">
        <f t="shared" si="8"/>
        <v>0</v>
      </c>
      <c r="G82" s="72"/>
      <c r="H82" s="45"/>
    </row>
    <row r="83" spans="1:8" ht="15" customHeight="1">
      <c r="A83" s="106"/>
      <c r="B83" s="44"/>
      <c r="C83" s="45"/>
      <c r="D83" s="41">
        <f t="shared" si="5"/>
        <v>0</v>
      </c>
      <c r="E83" s="42" t="e">
        <f t="shared" si="6"/>
        <v>#DIV/0!</v>
      </c>
      <c r="F83" s="43">
        <f t="shared" si="8"/>
        <v>0</v>
      </c>
      <c r="G83" s="72"/>
      <c r="H83" s="45"/>
    </row>
    <row r="84" spans="1:8" ht="15" customHeight="1">
      <c r="A84" s="46"/>
      <c r="B84" s="44"/>
      <c r="C84" s="45"/>
      <c r="D84" s="41">
        <f t="shared" si="5"/>
        <v>0</v>
      </c>
      <c r="E84" s="42" t="e">
        <f t="shared" si="6"/>
        <v>#DIV/0!</v>
      </c>
      <c r="F84" s="43">
        <f t="shared" si="8"/>
        <v>0</v>
      </c>
      <c r="G84" s="72"/>
      <c r="H84" s="45"/>
    </row>
    <row r="85" spans="1:8" ht="15" customHeight="1">
      <c r="A85" s="46"/>
      <c r="B85" s="44"/>
      <c r="C85" s="45"/>
      <c r="D85" s="41">
        <f t="shared" si="5"/>
        <v>0</v>
      </c>
      <c r="E85" s="42" t="e">
        <f t="shared" si="6"/>
        <v>#DIV/0!</v>
      </c>
      <c r="F85" s="43">
        <f t="shared" si="8"/>
        <v>0</v>
      </c>
      <c r="G85" s="72"/>
      <c r="H85" s="45"/>
    </row>
    <row r="86" spans="1:8" ht="15" customHeight="1">
      <c r="A86" s="46"/>
      <c r="B86" s="44"/>
      <c r="C86" s="45"/>
      <c r="D86" s="41">
        <f t="shared" si="5"/>
        <v>0</v>
      </c>
      <c r="E86" s="42" t="e">
        <f t="shared" si="6"/>
        <v>#DIV/0!</v>
      </c>
      <c r="F86" s="43">
        <f t="shared" si="8"/>
        <v>0</v>
      </c>
      <c r="G86" s="72"/>
      <c r="H86" s="45"/>
    </row>
    <row r="87" spans="1:8" ht="15" customHeight="1">
      <c r="A87" s="46"/>
      <c r="B87" s="44"/>
      <c r="C87" s="45"/>
      <c r="D87" s="41">
        <f t="shared" si="5"/>
        <v>0</v>
      </c>
      <c r="E87" s="42" t="e">
        <f t="shared" si="6"/>
        <v>#DIV/0!</v>
      </c>
      <c r="F87" s="43">
        <f t="shared" si="8"/>
        <v>0</v>
      </c>
      <c r="G87" s="72"/>
      <c r="H87" s="45"/>
    </row>
    <row r="88" spans="1:8" ht="15" customHeight="1">
      <c r="A88" s="46"/>
      <c r="B88" s="44"/>
      <c r="C88" s="45"/>
      <c r="D88" s="41">
        <f t="shared" si="5"/>
        <v>0</v>
      </c>
      <c r="E88" s="42" t="e">
        <f t="shared" si="6"/>
        <v>#DIV/0!</v>
      </c>
      <c r="F88" s="43">
        <f t="shared" si="8"/>
        <v>0</v>
      </c>
      <c r="G88" s="72"/>
      <c r="H88" s="45"/>
    </row>
    <row r="89" spans="1:8" ht="15" customHeight="1">
      <c r="A89" s="46"/>
      <c r="B89" s="44"/>
      <c r="C89" s="45"/>
      <c r="D89" s="41">
        <f t="shared" si="5"/>
        <v>0</v>
      </c>
      <c r="E89" s="42" t="e">
        <f t="shared" si="6"/>
        <v>#DIV/0!</v>
      </c>
      <c r="F89" s="43">
        <f t="shared" si="8"/>
        <v>0</v>
      </c>
      <c r="G89" s="72"/>
      <c r="H89" s="45"/>
    </row>
    <row r="90" spans="1:8" ht="15" customHeight="1">
      <c r="A90" s="46"/>
      <c r="B90" s="44"/>
      <c r="C90" s="45"/>
      <c r="D90" s="41">
        <f t="shared" si="5"/>
        <v>0</v>
      </c>
      <c r="E90" s="42" t="e">
        <f t="shared" si="6"/>
        <v>#DIV/0!</v>
      </c>
      <c r="F90" s="43">
        <f t="shared" si="8"/>
        <v>0</v>
      </c>
      <c r="G90" s="72"/>
      <c r="H90" s="45"/>
    </row>
    <row r="91" spans="1:8" ht="15" customHeight="1">
      <c r="A91" s="46"/>
      <c r="B91" s="44"/>
      <c r="C91" s="45"/>
      <c r="D91" s="41">
        <f t="shared" si="5"/>
        <v>0</v>
      </c>
      <c r="E91" s="42" t="e">
        <f t="shared" si="6"/>
        <v>#DIV/0!</v>
      </c>
      <c r="F91" s="43">
        <f t="shared" si="8"/>
        <v>0</v>
      </c>
      <c r="G91" s="72"/>
      <c r="H91" s="45"/>
    </row>
    <row r="92" spans="1:8" ht="15" customHeight="1">
      <c r="A92" s="46"/>
      <c r="B92" s="44"/>
      <c r="C92" s="45"/>
      <c r="D92" s="41">
        <f t="shared" si="5"/>
        <v>0</v>
      </c>
      <c r="E92" s="42" t="e">
        <f t="shared" si="6"/>
        <v>#DIV/0!</v>
      </c>
      <c r="F92" s="43">
        <f t="shared" si="8"/>
        <v>0</v>
      </c>
      <c r="G92" s="72"/>
      <c r="H92" s="45"/>
    </row>
    <row r="93" spans="1:8" ht="15" customHeight="1">
      <c r="A93" s="46"/>
      <c r="B93" s="44"/>
      <c r="C93" s="45"/>
      <c r="D93" s="41">
        <f t="shared" si="5"/>
        <v>0</v>
      </c>
      <c r="E93" s="42" t="e">
        <f t="shared" si="6"/>
        <v>#DIV/0!</v>
      </c>
      <c r="F93" s="43">
        <f t="shared" si="8"/>
        <v>0</v>
      </c>
      <c r="G93" s="72"/>
      <c r="H93" s="45"/>
    </row>
    <row r="94" spans="1:8" ht="15" customHeight="1">
      <c r="A94" s="46"/>
      <c r="B94" s="44"/>
      <c r="C94" s="45"/>
      <c r="D94" s="41">
        <f t="shared" si="5"/>
        <v>0</v>
      </c>
      <c r="E94" s="42" t="e">
        <f t="shared" si="6"/>
        <v>#DIV/0!</v>
      </c>
      <c r="F94" s="43">
        <f t="shared" si="8"/>
        <v>0</v>
      </c>
      <c r="G94" s="72"/>
      <c r="H94" s="45"/>
    </row>
    <row r="95" spans="1:8" ht="15" customHeight="1">
      <c r="A95" s="46"/>
      <c r="B95" s="44"/>
      <c r="C95" s="45"/>
      <c r="D95" s="41">
        <f t="shared" si="5"/>
        <v>0</v>
      </c>
      <c r="E95" s="42" t="e">
        <f t="shared" si="6"/>
        <v>#DIV/0!</v>
      </c>
      <c r="F95" s="43">
        <f t="shared" si="8"/>
        <v>0</v>
      </c>
      <c r="G95" s="72"/>
      <c r="H95" s="45"/>
    </row>
    <row r="96" spans="1:8" ht="15" customHeight="1">
      <c r="A96" s="46"/>
      <c r="B96" s="44"/>
      <c r="C96" s="45"/>
      <c r="D96" s="41">
        <f t="shared" si="5"/>
        <v>0</v>
      </c>
      <c r="E96" s="42" t="e">
        <f t="shared" si="6"/>
        <v>#DIV/0!</v>
      </c>
      <c r="F96" s="43">
        <f t="shared" si="8"/>
        <v>0</v>
      </c>
      <c r="G96" s="72"/>
      <c r="H96" s="45"/>
    </row>
    <row r="97" ht="15" customHeight="1">
      <c r="A97" s="46"/>
    </row>
    <row r="98" ht="15" customHeight="1">
      <c r="A98" s="46"/>
    </row>
    <row r="99" ht="15" customHeight="1">
      <c r="A99" s="46"/>
    </row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</sheetData>
  <sheetProtection password="CA7B" sheet="1" objects="1" scenarios="1" selectLockedCells="1"/>
  <mergeCells count="13">
    <mergeCell ref="B1:L1"/>
    <mergeCell ref="I3:L3"/>
    <mergeCell ref="A13:L13"/>
    <mergeCell ref="A49:A52"/>
    <mergeCell ref="A53:A56"/>
    <mergeCell ref="A57:A59"/>
    <mergeCell ref="A67:A80"/>
    <mergeCell ref="A17:A44"/>
    <mergeCell ref="B3:H3"/>
    <mergeCell ref="E9:J9"/>
    <mergeCell ref="A45:A48"/>
    <mergeCell ref="A81:A83"/>
    <mergeCell ref="A60:A66"/>
  </mergeCells>
  <conditionalFormatting sqref="J5">
    <cfRule type="cellIs" priority="1" dxfId="3" operator="lessThan" stopIfTrue="1">
      <formula>0</formula>
    </cfRule>
  </conditionalFormatting>
  <conditionalFormatting sqref="I11">
    <cfRule type="cellIs" priority="3" dxfId="2" operator="lessThan" stopIfTrue="1">
      <formula>0</formula>
    </cfRule>
  </conditionalFormatting>
  <conditionalFormatting sqref="K5">
    <cfRule type="cellIs" priority="4" dxfId="1" operator="notBetween" stopIfTrue="1">
      <formula>$K$11-1</formula>
      <formula>$K$11+1</formula>
    </cfRule>
    <cfRule type="cellIs" priority="5" dxfId="0" operator="between" stopIfTrue="1">
      <formula>$K$11-1</formula>
      <formula>$K$11+1</formula>
    </cfRule>
  </conditionalFormatting>
  <dataValidations count="6">
    <dataValidation type="list" allowBlank="1" showInputMessage="1" showErrorMessage="1" sqref="B5">
      <formula1>$B$16:$B$99</formula1>
    </dataValidation>
    <dataValidation type="list" showInputMessage="1" showErrorMessage="1" sqref="I11">
      <formula1>$N$19:$N$29</formula1>
    </dataValidation>
    <dataValidation type="list" allowBlank="1" showInputMessage="1" showErrorMessage="1" sqref="J11">
      <formula1>$N$31:$N$32</formula1>
    </dataValidation>
    <dataValidation type="list" allowBlank="1" showInputMessage="1" showErrorMessage="1" sqref="H5">
      <formula1>$N$16:$N$17</formula1>
    </dataValidation>
    <dataValidation type="list" allowBlank="1" showInputMessage="1" showErrorMessage="1" sqref="E5">
      <formula1>$N$34:$N$40</formula1>
    </dataValidation>
    <dataValidation type="list" allowBlank="1" showInputMessage="1" showErrorMessage="1" sqref="B8">
      <formula1>$Q$20:$Q$29</formula1>
    </dataValidation>
  </dataValidation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MANN+HUMMEL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SMiller</dc:creator>
  <cp:keywords/>
  <dc:description/>
  <cp:lastModifiedBy>Utilisateur</cp:lastModifiedBy>
  <dcterms:created xsi:type="dcterms:W3CDTF">2009-03-03T01:50:38Z</dcterms:created>
  <dcterms:modified xsi:type="dcterms:W3CDTF">2014-04-08T16:33:40Z</dcterms:modified>
  <cp:category/>
  <cp:version/>
  <cp:contentType/>
  <cp:contentStatus/>
</cp:coreProperties>
</file>